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drawings/drawing1.xml" ContentType="application/vnd.openxmlformats-officedocument.drawing+xml"/>
  <Override PartName="/xl/customProperty4.bin" ContentType="application/vnd.openxmlformats-officedocument.spreadsheetml.customProperty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ustomProperty5.bin" ContentType="application/vnd.openxmlformats-officedocument.spreadsheetml.customProperty"/>
  <Override PartName="/xl/tables/table5.xml" ContentType="application/vnd.openxmlformats-officedocument.spreadsheetml.table+xml"/>
  <Override PartName="/xl/customProperty6.bin" ContentType="application/vnd.openxmlformats-officedocument.spreadsheetml.customProperty"/>
  <Override PartName="/xl/drawings/drawing2.xml" ContentType="application/vnd.openxmlformats-officedocument.drawing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customProperty7.bin" ContentType="application/vnd.openxmlformats-officedocument.spreadsheetml.customProperty"/>
  <Override PartName="/xl/drawings/drawing3.xml" ContentType="application/vnd.openxmlformats-officedocument.drawing+xml"/>
  <Override PartName="/xl/tables/table8.xml" ContentType="application/vnd.openxmlformats-officedocument.spreadsheetml.table+xml"/>
  <Override PartName="/xl/customProperty8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120" windowWidth="20460" windowHeight="8910" activeTab="1"/>
  </bookViews>
  <sheets>
    <sheet name="форма до 1,35" sheetId="7" r:id="rId1"/>
    <sheet name="форма от 1,35" sheetId="6" r:id="rId2"/>
    <sheet name="форма до 1,07 тыс" sheetId="1" state="hidden" r:id="rId3"/>
    <sheet name="справка" sheetId="5" state="hidden" r:id="rId4"/>
    <sheet name="нормы табл1,1" sheetId="2" state="hidden" r:id="rId5"/>
    <sheet name="прогн индекс ПРОЧИЕ" sheetId="3" r:id="rId6"/>
    <sheet name="нацстат индексы" sheetId="4" r:id="rId7"/>
    <sheet name="Инструкция" sheetId="8" r:id="rId8"/>
  </sheets>
  <externalReferences>
    <externalReference r:id="rId9"/>
  </externalReferences>
  <calcPr calcId="144525"/>
</workbook>
</file>

<file path=xl/calcChain.xml><?xml version="1.0" encoding="utf-8"?>
<calcChain xmlns="http://schemas.openxmlformats.org/spreadsheetml/2006/main">
  <c r="E37" i="4" l="1"/>
  <c r="C37" i="4"/>
  <c r="E36" i="4"/>
  <c r="C36" i="4"/>
  <c r="E35" i="4"/>
  <c r="C35" i="4"/>
  <c r="E34" i="4"/>
  <c r="C34" i="4"/>
  <c r="E33" i="4"/>
  <c r="C33" i="4"/>
  <c r="E32" i="4"/>
  <c r="C32" i="4"/>
  <c r="E31" i="4"/>
  <c r="C31" i="4"/>
  <c r="E30" i="4"/>
  <c r="C30" i="4"/>
  <c r="E29" i="4"/>
  <c r="C29" i="4"/>
  <c r="E28" i="4"/>
  <c r="C28" i="4"/>
  <c r="E27" i="4"/>
  <c r="C27" i="4"/>
  <c r="E26" i="4"/>
  <c r="C26" i="4"/>
  <c r="D26" i="4" s="1"/>
  <c r="D27" i="4" s="1"/>
  <c r="D28" i="4" s="1"/>
  <c r="D29" i="4" s="1"/>
  <c r="D30" i="4" s="1"/>
  <c r="G3" i="3"/>
  <c r="G4" i="3" s="1"/>
  <c r="G5" i="3" s="1"/>
  <c r="G6" i="3" s="1"/>
  <c r="G7" i="3" s="1"/>
  <c r="G8" i="3" s="1"/>
  <c r="G9" i="3" s="1"/>
  <c r="G10" i="3" s="1"/>
  <c r="G11" i="3" s="1"/>
  <c r="G12" i="3" s="1"/>
  <c r="G13" i="3" s="1"/>
  <c r="E3" i="3"/>
  <c r="E4" i="3" s="1"/>
  <c r="E5" i="3" s="1"/>
  <c r="E6" i="3" s="1"/>
  <c r="E7" i="3" s="1"/>
  <c r="E8" i="3" s="1"/>
  <c r="E9" i="3" s="1"/>
  <c r="E10" i="3" s="1"/>
  <c r="E11" i="3" s="1"/>
  <c r="E12" i="3" s="1"/>
  <c r="E13" i="3" s="1"/>
  <c r="D43" i="3"/>
  <c r="D44" i="3" s="1"/>
  <c r="D45" i="3" s="1"/>
  <c r="D46" i="3" s="1"/>
  <c r="D47" i="3" s="1"/>
  <c r="D48" i="3" s="1"/>
  <c r="D49" i="3" s="1"/>
  <c r="D50" i="3" s="1"/>
  <c r="D51" i="3" s="1"/>
  <c r="D52" i="3" s="1"/>
  <c r="D53" i="3" s="1"/>
  <c r="D54" i="3" s="1"/>
  <c r="C43" i="3"/>
  <c r="C44" i="3" s="1"/>
  <c r="C45" i="3" s="1"/>
  <c r="C46" i="3" s="1"/>
  <c r="C47" i="3" s="1"/>
  <c r="C48" i="3" s="1"/>
  <c r="C49" i="3" s="1"/>
  <c r="C50" i="3" s="1"/>
  <c r="C51" i="3" s="1"/>
  <c r="C52" i="3" s="1"/>
  <c r="C53" i="3" s="1"/>
  <c r="C54" i="3" s="1"/>
  <c r="D31" i="4" l="1"/>
  <c r="D32" i="4" s="1"/>
  <c r="D33" i="4" s="1"/>
  <c r="D34" i="4" s="1"/>
  <c r="D35" i="4" s="1"/>
  <c r="D36" i="4" s="1"/>
  <c r="D37" i="4" s="1"/>
  <c r="A21" i="6"/>
  <c r="A21" i="7"/>
  <c r="A43" i="7" l="1"/>
  <c r="A43" i="6"/>
  <c r="D25" i="3" l="1"/>
  <c r="D26" i="3" s="1"/>
  <c r="C25" i="3"/>
  <c r="C26" i="3" s="1"/>
  <c r="C8" i="3"/>
  <c r="C9" i="3" s="1"/>
  <c r="A44" i="7" l="1"/>
  <c r="A42" i="7"/>
  <c r="A19" i="7"/>
  <c r="E20" i="7" l="1"/>
  <c r="E22" i="7" s="1"/>
  <c r="E24" i="7" s="1"/>
  <c r="A23" i="7" l="1"/>
  <c r="B38" i="7"/>
  <c r="C32" i="7"/>
  <c r="B30" i="7"/>
  <c r="C38" i="7"/>
  <c r="B36" i="7"/>
  <c r="D32" i="7"/>
  <c r="C30" i="7"/>
  <c r="B28" i="7"/>
  <c r="D38" i="7"/>
  <c r="C36" i="7"/>
  <c r="B34" i="7"/>
  <c r="D30" i="7"/>
  <c r="C28" i="7"/>
  <c r="D36" i="7"/>
  <c r="B32" i="7"/>
  <c r="D28" i="7"/>
  <c r="E36" i="7" l="1"/>
  <c r="A29" i="7"/>
  <c r="E28" i="7"/>
  <c r="A37" i="7"/>
  <c r="A33" i="7"/>
  <c r="A35" i="7"/>
  <c r="A31" i="7"/>
  <c r="E34" i="7"/>
  <c r="E30" i="7"/>
  <c r="E32" i="7"/>
  <c r="A19" i="1"/>
  <c r="A19" i="6"/>
  <c r="C32" i="3"/>
  <c r="C33" i="3" s="1"/>
  <c r="C34" i="3" s="1"/>
  <c r="C35" i="3" s="1"/>
  <c r="C36" i="3" s="1"/>
  <c r="C37" i="3" s="1"/>
  <c r="C38" i="3" s="1"/>
  <c r="C39" i="3" s="1"/>
  <c r="C40" i="3" s="1"/>
  <c r="C41" i="3" s="1"/>
  <c r="C42" i="3" s="1"/>
  <c r="C27" i="3"/>
  <c r="C28" i="3" s="1"/>
  <c r="C29" i="3" s="1"/>
  <c r="C30" i="3" s="1"/>
  <c r="E39" i="7" l="1"/>
  <c r="D27" i="3"/>
  <c r="D28" i="3" s="1"/>
  <c r="D29" i="3" s="1"/>
  <c r="D30" i="3" s="1"/>
  <c r="D31" i="3" s="1"/>
  <c r="D32" i="3" s="1"/>
  <c r="D33" i="3" s="1"/>
  <c r="D34" i="3" s="1"/>
  <c r="E14" i="4"/>
  <c r="E15" i="4"/>
  <c r="E16" i="4"/>
  <c r="E17" i="4"/>
  <c r="E18" i="4"/>
  <c r="E19" i="4"/>
  <c r="E20" i="4"/>
  <c r="E21" i="4"/>
  <c r="E22" i="4"/>
  <c r="E23" i="4"/>
  <c r="E24" i="4"/>
  <c r="E25" i="4"/>
  <c r="D35" i="3" l="1"/>
  <c r="D36" i="3" s="1"/>
  <c r="D37" i="3" s="1"/>
  <c r="D38" i="3" s="1"/>
  <c r="D39" i="3" s="1"/>
  <c r="D40" i="3" s="1"/>
  <c r="D41" i="3" s="1"/>
  <c r="D42" i="3" s="1"/>
  <c r="E35" i="1"/>
  <c r="E3" i="4"/>
  <c r="E4" i="4"/>
  <c r="E5" i="4"/>
  <c r="E6" i="4"/>
  <c r="E7" i="4"/>
  <c r="E8" i="4"/>
  <c r="E9" i="4"/>
  <c r="E10" i="4"/>
  <c r="E11" i="4"/>
  <c r="E12" i="4"/>
  <c r="E13" i="4"/>
  <c r="E2" i="4"/>
  <c r="A44" i="6" l="1"/>
  <c r="C21" i="2"/>
  <c r="C22" i="2"/>
  <c r="C18" i="2"/>
  <c r="C19" i="2"/>
  <c r="C20" i="2"/>
  <c r="C23" i="2"/>
  <c r="C17" i="2"/>
  <c r="C16" i="2"/>
  <c r="C15" i="2"/>
  <c r="C14" i="2"/>
  <c r="E44" i="7" l="1"/>
  <c r="E46" i="7" s="1"/>
  <c r="C4" i="2"/>
  <c r="C5" i="2"/>
  <c r="C6" i="2"/>
  <c r="C7" i="2"/>
  <c r="C8" i="2"/>
  <c r="C9" i="2"/>
  <c r="C10" i="2"/>
  <c r="C11" i="2"/>
  <c r="C12" i="2"/>
  <c r="C13" i="2"/>
  <c r="A42" i="6"/>
  <c r="A36" i="1" l="1"/>
  <c r="A35" i="1"/>
  <c r="C10" i="3" l="1"/>
  <c r="C11" i="3" s="1"/>
  <c r="C12" i="3" s="1"/>
  <c r="C13" i="3" s="1"/>
  <c r="D25" i="2"/>
  <c r="E25" i="2"/>
  <c r="F25" i="2"/>
  <c r="G25" i="2"/>
  <c r="H25" i="2"/>
  <c r="E44" i="6" l="1"/>
  <c r="E36" i="1"/>
  <c r="M5" i="2"/>
  <c r="N5" i="2" s="1"/>
  <c r="M6" i="2"/>
  <c r="N6" i="2" s="1"/>
  <c r="M7" i="2"/>
  <c r="N7" i="2" s="1"/>
  <c r="M8" i="2"/>
  <c r="N8" i="2" s="1"/>
  <c r="M9" i="2"/>
  <c r="N9" i="2" s="1"/>
  <c r="M10" i="2"/>
  <c r="N10" i="2" s="1"/>
  <c r="M11" i="2"/>
  <c r="N11" i="2" s="1"/>
  <c r="M12" i="2"/>
  <c r="N12" i="2" s="1"/>
  <c r="M13" i="2"/>
  <c r="N13" i="2" s="1"/>
  <c r="M4" i="2"/>
  <c r="N4" i="2" s="1"/>
  <c r="J4" i="2"/>
  <c r="K4" i="2" s="1"/>
  <c r="J5" i="2"/>
  <c r="K5" i="2" s="1"/>
  <c r="J6" i="2"/>
  <c r="K6" i="2" s="1"/>
  <c r="J7" i="2"/>
  <c r="K7" i="2" s="1"/>
  <c r="J8" i="2"/>
  <c r="K8" i="2" s="1"/>
  <c r="J13" i="2"/>
  <c r="K13" i="2" s="1"/>
  <c r="J12" i="2"/>
  <c r="K12" i="2" s="1"/>
  <c r="J11" i="2"/>
  <c r="K11" i="2" s="1"/>
  <c r="J10" i="2"/>
  <c r="K10" i="2" s="1"/>
  <c r="J9" i="2"/>
  <c r="K9" i="2" s="1"/>
  <c r="E20" i="1" l="1"/>
  <c r="E21" i="1" s="1"/>
  <c r="E20" i="6"/>
  <c r="E22" i="6" s="1"/>
  <c r="H26" i="2"/>
  <c r="G26" i="2"/>
  <c r="F26" i="2"/>
  <c r="E26" i="2"/>
  <c r="D26" i="2"/>
  <c r="A23" i="6" l="1"/>
  <c r="E24" i="6"/>
  <c r="E22" i="1"/>
  <c r="D28" i="1" s="1"/>
  <c r="B26" i="2"/>
  <c r="B27" i="2" s="1"/>
  <c r="C27" i="1" l="1"/>
  <c r="C26" i="1"/>
  <c r="C31" i="1"/>
  <c r="D26" i="1"/>
  <c r="D29" i="1"/>
  <c r="D27" i="1"/>
  <c r="C30" i="1"/>
  <c r="D31" i="1"/>
  <c r="C29" i="1"/>
  <c r="D30" i="1"/>
  <c r="C28" i="1"/>
  <c r="C28" i="6"/>
  <c r="B32" i="6"/>
  <c r="D28" i="6"/>
  <c r="C36" i="6"/>
  <c r="B36" i="6"/>
  <c r="B30" i="6"/>
  <c r="B38" i="6"/>
  <c r="C32" i="6"/>
  <c r="D38" i="6"/>
  <c r="B28" i="6"/>
  <c r="B34" i="6"/>
  <c r="D32" i="6"/>
  <c r="C38" i="6"/>
  <c r="D36" i="6"/>
  <c r="C30" i="6"/>
  <c r="D30" i="6"/>
  <c r="A29" i="6" l="1"/>
  <c r="A35" i="6"/>
  <c r="A37" i="6"/>
  <c r="A31" i="6"/>
  <c r="A33" i="6"/>
  <c r="E26" i="1"/>
  <c r="E27" i="1"/>
  <c r="E28" i="1"/>
  <c r="E29" i="1"/>
  <c r="E30" i="1"/>
  <c r="E32" i="6"/>
  <c r="E34" i="6"/>
  <c r="E32" i="1" l="1"/>
  <c r="E38" i="1" s="1"/>
  <c r="E39" i="6"/>
  <c r="E46" i="6" s="1"/>
  <c r="A39" i="1"/>
</calcChain>
</file>

<file path=xl/sharedStrings.xml><?xml version="1.0" encoding="utf-8"?>
<sst xmlns="http://schemas.openxmlformats.org/spreadsheetml/2006/main" count="395" uniqueCount="186">
  <si>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</si>
  <si>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</si>
  <si>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</si>
  <si>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</si>
  <si>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</si>
  <si>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</si>
  <si>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</si>
  <si>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</si>
  <si>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</si>
  <si>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</si>
  <si>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</si>
  <si>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</si>
  <si>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норма затрат труда,чел-дней</t>
  </si>
  <si>
    <t>финконтроль</t>
  </si>
  <si>
    <t>технадзор</t>
  </si>
  <si>
    <t>общее руководство проект. и план.</t>
  </si>
  <si>
    <t>общее руководство строит. и пусконаладк</t>
  </si>
  <si>
    <t>заверш. строит и приемка в эксп</t>
  </si>
  <si>
    <t>чел-час</t>
  </si>
  <si>
    <t>только технадзор</t>
  </si>
  <si>
    <t>Объекты текущего ремонта</t>
  </si>
  <si>
    <t>Наименование объекта:</t>
  </si>
  <si>
    <t>Срок разработки (утверждения) дефектного акта</t>
  </si>
  <si>
    <t>Год</t>
  </si>
  <si>
    <t>Месяц</t>
  </si>
  <si>
    <t>год</t>
  </si>
  <si>
    <t>месяц</t>
  </si>
  <si>
    <t>ставка</t>
  </si>
  <si>
    <t>начало действия</t>
  </si>
  <si>
    <t>КУП "Жилищное коммунальное хозяйство Октябрьского района г.Минска"</t>
  </si>
  <si>
    <t>УТВЕРЖДАЮ</t>
  </si>
  <si>
    <t>Директор КУП "Жилищное коммунальное</t>
  </si>
  <si>
    <t>хозяйство Октябрьского района г.Минска"</t>
  </si>
  <si>
    <t>_________________ С.В.Алехна</t>
  </si>
  <si>
    <t>"____"_______________ 2023 г.</t>
  </si>
  <si>
    <t>Произведение индексов для перевода в цены на 01.01.2023</t>
  </si>
  <si>
    <t>Предельная стоимость строительства в ценах на 01.01.2023</t>
  </si>
  <si>
    <t>предприятие</t>
  </si>
  <si>
    <t>должность руководителя</t>
  </si>
  <si>
    <t>ФИО</t>
  </si>
  <si>
    <t>Директор</t>
  </si>
  <si>
    <t>С.В.Алехна</t>
  </si>
  <si>
    <t>Первый заместитель директора-главный инженер</t>
  </si>
  <si>
    <t>А.С.Моисеенко</t>
  </si>
  <si>
    <t>1. Общее руководство проектированием и планированием</t>
  </si>
  <si>
    <t>2. Финансовый контроль и учет в строительстве</t>
  </si>
  <si>
    <t>3. Технический надзор</t>
  </si>
  <si>
    <t>4. Общее руководство строительством и пусконаладкой</t>
  </si>
  <si>
    <t>5. Завершение строительства и приемка в эксплуатацию</t>
  </si>
  <si>
    <t>нормативное значение</t>
  </si>
  <si>
    <t>Нормы затрат труда с учетом интерполяции и экстраполяции (чел.дней):</t>
  </si>
  <si>
    <t>Итого</t>
  </si>
  <si>
    <t>Стоимость человеко-часа по состоянию на 01.07.2023 (руб. за чел.день)</t>
  </si>
  <si>
    <t>Стоимость услуг заказчика</t>
  </si>
  <si>
    <t>Столбец1</t>
  </si>
  <si>
    <t>сумма</t>
  </si>
  <si>
    <t>%от СМР</t>
  </si>
  <si>
    <t>2023</t>
  </si>
  <si>
    <t>2024</t>
  </si>
  <si>
    <t>2025</t>
  </si>
  <si>
    <t xml:space="preserve">значение с учетом интерполяции </t>
  </si>
  <si>
    <t>Столбец2</t>
  </si>
  <si>
    <t>Столбец3</t>
  </si>
  <si>
    <t>Все элементы технологической структуры</t>
  </si>
  <si>
    <t>В том числе</t>
  </si>
  <si>
    <t>строительно-монтажные работы</t>
  </si>
  <si>
    <t>машины и оборудование</t>
  </si>
  <si>
    <t>прочие работы и затраты</t>
  </si>
  <si>
    <t>к преды- дущему месяцу</t>
  </si>
  <si>
    <t>к декабрю предыдущего года</t>
  </si>
  <si>
    <t>2023 год</t>
  </si>
  <si>
    <t>нарастающим</t>
  </si>
  <si>
    <t>сайт:</t>
  </si>
  <si>
    <t>https://www.belstat.gov.by/ofitsialnaya-statistika/realny-sector-ekonomiki/tseny/tseny-proizvoditeley/operativnye-dannye/izmenenie-tsen/</t>
  </si>
  <si>
    <t>градация</t>
  </si>
  <si>
    <t>номер пп</t>
  </si>
  <si>
    <t>следующее за нормативным</t>
  </si>
  <si>
    <t>Расчет стоимости услуги заказчика</t>
  </si>
  <si>
    <t>Наименование подрядной организации:</t>
  </si>
  <si>
    <t>Договор:</t>
  </si>
  <si>
    <t>Стоимостной показатель, руб.</t>
  </si>
  <si>
    <t>Расчет составил _________________________________</t>
  </si>
  <si>
    <t>Расчет проверил _________________________________</t>
  </si>
  <si>
    <t>Без НДС. Освобождение по статье 94 Налогового кодекса Республики Беларусь</t>
  </si>
  <si>
    <t>https://snzt.by/spravka.html</t>
  </si>
  <si>
    <t>Примечание: используются прогнозные индексы по ПРОЧИМ работам (не в строительстве, не СМР, не оборудование)</t>
  </si>
  <si>
    <t>месяц 2023</t>
  </si>
  <si>
    <t>поменялись в октябре</t>
  </si>
  <si>
    <t>2023январь</t>
  </si>
  <si>
    <t>2023февраль</t>
  </si>
  <si>
    <t>2023март</t>
  </si>
  <si>
    <t>2023апрель</t>
  </si>
  <si>
    <t>2023май</t>
  </si>
  <si>
    <t>2023июнь</t>
  </si>
  <si>
    <t>2023июль</t>
  </si>
  <si>
    <t>2023август</t>
  </si>
  <si>
    <t>2023сентябрь</t>
  </si>
  <si>
    <t>2023октябрь</t>
  </si>
  <si>
    <t>2023ноябрь</t>
  </si>
  <si>
    <t>2023декабрь</t>
  </si>
  <si>
    <t>2024январь</t>
  </si>
  <si>
    <t>2024февраль</t>
  </si>
  <si>
    <t>2024март</t>
  </si>
  <si>
    <t>2024апрель</t>
  </si>
  <si>
    <t>2024май</t>
  </si>
  <si>
    <t>2024июнь</t>
  </si>
  <si>
    <t>2024июль</t>
  </si>
  <si>
    <t>2024август</t>
  </si>
  <si>
    <t>2024сентябрь</t>
  </si>
  <si>
    <t>2024октябрь</t>
  </si>
  <si>
    <t>2024ноябрь</t>
  </si>
  <si>
    <t>2024декабрь</t>
  </si>
  <si>
    <t>период</t>
  </si>
  <si>
    <t>индекс</t>
  </si>
  <si>
    <t>индекс_год</t>
  </si>
  <si>
    <t>2025январь</t>
  </si>
  <si>
    <t>2025февраль</t>
  </si>
  <si>
    <t>2025март</t>
  </si>
  <si>
    <t>2025апрель</t>
  </si>
  <si>
    <t>2025май</t>
  </si>
  <si>
    <t>2025июнь</t>
  </si>
  <si>
    <t>2025июль</t>
  </si>
  <si>
    <t>2025август</t>
  </si>
  <si>
    <t>2025сентябрь</t>
  </si>
  <si>
    <t>2025октябрь</t>
  </si>
  <si>
    <t>2025ноябрь</t>
  </si>
  <si>
    <t>2025декабрь</t>
  </si>
  <si>
    <t>годмесяц</t>
  </si>
  <si>
    <t>признак</t>
  </si>
  <si>
    <t>поменялись в январе</t>
  </si>
  <si>
    <t>норма</t>
  </si>
  <si>
    <t>И010100а</t>
  </si>
  <si>
    <t>И010101а</t>
  </si>
  <si>
    <t>И010102а</t>
  </si>
  <si>
    <t>И010103а</t>
  </si>
  <si>
    <t>И010104а</t>
  </si>
  <si>
    <t>Обоснование</t>
  </si>
  <si>
    <t>ГП "ЖЭУ №1 Октябрьского района г.Минска"</t>
  </si>
  <si>
    <t>Электромонтажные работы по ул.Бакинская, д.16, под.1,2</t>
  </si>
  <si>
    <t>№560 от 28.12.2023</t>
  </si>
  <si>
    <t xml:space="preserve"> </t>
  </si>
  <si>
    <t xml:space="preserve">Год: </t>
  </si>
  <si>
    <t xml:space="preserve">Месяц: </t>
  </si>
  <si>
    <t>И010105а</t>
  </si>
  <si>
    <t>И010106а</t>
  </si>
  <si>
    <t>И010107а</t>
  </si>
  <si>
    <t>И010108а</t>
  </si>
  <si>
    <t>И010109а</t>
  </si>
  <si>
    <t>И010110а</t>
  </si>
  <si>
    <t>И010111а</t>
  </si>
  <si>
    <t>И010112а</t>
  </si>
  <si>
    <t>И010113а</t>
  </si>
  <si>
    <t>И010114а</t>
  </si>
  <si>
    <t>И010115а</t>
  </si>
  <si>
    <t>И010116а</t>
  </si>
  <si>
    <t>И010117а</t>
  </si>
  <si>
    <t>И010118а</t>
  </si>
  <si>
    <t>И010119а</t>
  </si>
  <si>
    <t>И010120а</t>
  </si>
  <si>
    <t>Стоимость человеко-часа по состоянию на 01.01.2025 (руб. за чел.день)</t>
  </si>
  <si>
    <t>индекс_янв25</t>
  </si>
  <si>
    <r>
      <t>1. Общее руководство проектированием и планированием (с учетом п.25, К</t>
    </r>
    <r>
      <rPr>
        <vertAlign val="subscript"/>
        <sz val="14"/>
        <color rgb="FF000000"/>
        <rFont val="Times New Roman"/>
        <family val="1"/>
        <charset val="204"/>
      </rPr>
      <t>И0.002</t>
    </r>
    <r>
      <rPr>
        <sz val="14"/>
        <color rgb="FF000000"/>
        <rFont val="Times New Roman"/>
        <family val="1"/>
        <charset val="204"/>
      </rPr>
      <t xml:space="preserve"> = 0,95)</t>
    </r>
  </si>
  <si>
    <r>
      <t>1. Общее руководство проектированием и планированием  (с учетом п.25, К</t>
    </r>
    <r>
      <rPr>
        <vertAlign val="subscript"/>
        <sz val="14"/>
        <color rgb="FF000000"/>
        <rFont val="Times New Roman"/>
        <family val="1"/>
        <charset val="204"/>
      </rPr>
      <t>И0.002</t>
    </r>
    <r>
      <rPr>
        <sz val="14"/>
        <color rgb="FF000000"/>
        <rFont val="Times New Roman"/>
        <family val="1"/>
        <charset val="204"/>
      </rPr>
      <t xml:space="preserve"> = 0,95)</t>
    </r>
  </si>
  <si>
    <t>Примечание: в 2025 году стоимость нормо-часа заказчика установлена с 01.01.2025 385,56 руб.</t>
  </si>
  <si>
    <t>Предельная стоимость строительства в ценах на 01.01.2025, руб.</t>
  </si>
  <si>
    <t>Произведение индексов для перевода в цены на 01.01.2025</t>
  </si>
  <si>
    <t>предельная стоимость в ценах на 01.01.2025</t>
  </si>
  <si>
    <t>Стоимость услуг заказчика, (с учетом п.37) руб.</t>
  </si>
  <si>
    <t>В.И. Островерхов</t>
  </si>
  <si>
    <t>Т.М. Шарупо</t>
  </si>
  <si>
    <t>4. Завершение строительства и приемка в эксплуатацию</t>
  </si>
  <si>
    <t>СУММА: Две тысячи сто двадцать рублей 16 коп.</t>
  </si>
  <si>
    <t>О.В. Цишевич</t>
  </si>
  <si>
    <t>Государственное предприятие «ЖЭУ №3 Первомайского района г.Минска»</t>
  </si>
  <si>
    <t>Начальник отдела по ТО и ТН государственного предприятия "Жилищное коммунальное хозяйство Первомайского района г. Минска"</t>
  </si>
  <si>
    <t>_________________ В.В. Кулеш</t>
  </si>
  <si>
    <t>СУММА: Двадцать шесть рублей 61 коп.</t>
  </si>
  <si>
    <t>Июль 2025г.</t>
  </si>
  <si>
    <t xml:space="preserve">№ 297/25 от 30.06.2025 </t>
  </si>
  <si>
    <t>Заместитель директора государственного предприятия "Жилищное коммунальное хозяйство Первомайского района г. Минска"</t>
  </si>
  <si>
    <t>_________________ И.Н. Зеленкевич</t>
  </si>
  <si>
    <t>Содержание объектов благоустройства в части ремонта и окраски спортивной площадки, расположенной на придомовой территории жилищного фонда по адресу: г. Минск, ул. Макаенка, 12Б, закрепленной за коммунальным унитарным предприятием "Жилищное коммунальное хозяйство Первомайского района г. Минска"</t>
  </si>
  <si>
    <t>Август 2025г.</t>
  </si>
  <si>
    <t>"Капитальный ремонт жилого дома по адресу: г. Минск, пр. Независимости, д. 143, корп. 2"</t>
  </si>
  <si>
    <t>О.Т.Бондалетова</t>
  </si>
  <si>
    <t>А.В.Добранский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</si>
</sst>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-;\-* #,##0.00_-;_-* &quot;-&quot;??_-;_-@_-"/>
    <numFmt numFmtId="165" formatCode="0.0%"/>
    <numFmt numFmtId="166" formatCode="0.0"/>
    <numFmt numFmtId="167" formatCode="0.000"/>
    <numFmt numFmtId="168" formatCode="0.0000"/>
  </numFmts>
  <fonts count="21" x14ac:knownFonts="1"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0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4"/>
      <color rgb="FF000000"/>
      <name val="Times New Roman"/>
      <family val="1"/>
      <charset val="204"/>
    </font>
    <font>
      <u/>
      <sz val="10"/>
      <color theme="10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name val="Arial"/>
      <family val="2"/>
      <charset val="204"/>
    </font>
    <font>
      <b/>
      <sz val="11"/>
      <color rgb="FF175B19"/>
      <name val="Arial"/>
      <family val="2"/>
      <charset val="204"/>
    </font>
    <font>
      <b/>
      <sz val="11"/>
      <color rgb="FF1E2B7C"/>
      <name val="Arial"/>
      <family val="2"/>
      <charset val="204"/>
    </font>
    <font>
      <b/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b/>
      <sz val="15"/>
      <color theme="1"/>
      <name val="Times New Roman"/>
      <family val="1"/>
      <charset val="204"/>
    </font>
    <font>
      <sz val="10"/>
      <name val="Arial"/>
      <family val="2"/>
      <charset val="204"/>
    </font>
    <font>
      <vertAlign val="subscript"/>
      <sz val="14"/>
      <color rgb="FF000000"/>
      <name val="Times New Roman"/>
      <family val="1"/>
      <charset val="204"/>
    </font>
    <font>
      <b/>
      <sz val="16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E4EBF0"/>
        <bgColor indexed="64"/>
      </patternFill>
    </fill>
    <fill>
      <patternFill patternType="solid">
        <fgColor rgb="FFFF0000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4"/>
      </right>
      <top style="thin">
        <color theme="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/>
      </top>
      <bottom/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1" fillId="0" borderId="0"/>
    <xf numFmtId="0" fontId="18" fillId="0" borderId="0"/>
  </cellStyleXfs>
  <cellXfs count="142">
    <xf numFmtId="0" fontId="0" fillId="0" borderId="0" xfId="0"/>
    <xf numFmtId="0" fontId="0" fillId="0" borderId="0" xfId="0" applyAlignment="1">
      <alignment wrapText="1"/>
    </xf>
    <xf numFmtId="0" fontId="0" fillId="2" borderId="1" xfId="0" applyFill="1" applyBorder="1"/>
    <xf numFmtId="164" fontId="0" fillId="0" borderId="0" xfId="1" applyFont="1"/>
    <xf numFmtId="165" fontId="0" fillId="0" borderId="0" xfId="2" applyNumberFormat="1" applyFont="1"/>
    <xf numFmtId="10" fontId="0" fillId="0" borderId="0" xfId="2" applyNumberFormat="1" applyFont="1"/>
    <xf numFmtId="2" fontId="0" fillId="2" borderId="2" xfId="0" applyNumberFormat="1" applyFill="1" applyBorder="1"/>
    <xf numFmtId="0" fontId="4" fillId="0" borderId="0" xfId="0" applyFont="1"/>
    <xf numFmtId="14" fontId="0" fillId="0" borderId="0" xfId="0" applyNumberFormat="1"/>
    <xf numFmtId="0" fontId="0" fillId="0" borderId="0" xfId="0" applyAlignment="1">
      <alignment vertical="center" wrapText="1"/>
    </xf>
    <xf numFmtId="0" fontId="6" fillId="0" borderId="0" xfId="3" applyAlignment="1">
      <alignment vertical="center" wrapText="1"/>
    </xf>
    <xf numFmtId="0" fontId="4" fillId="0" borderId="0" xfId="0" applyFont="1" applyAlignment="1">
      <alignment vertical="center" wrapText="1"/>
    </xf>
    <xf numFmtId="2" fontId="0" fillId="0" borderId="0" xfId="0" applyNumberFormat="1"/>
    <xf numFmtId="1" fontId="3" fillId="3" borderId="4" xfId="1" applyNumberFormat="1" applyFont="1" applyFill="1" applyBorder="1"/>
    <xf numFmtId="0" fontId="0" fillId="2" borderId="0" xfId="0" applyFill="1" applyBorder="1"/>
    <xf numFmtId="0" fontId="7" fillId="0" borderId="0" xfId="0" applyFont="1"/>
    <xf numFmtId="0" fontId="8" fillId="0" borderId="0" xfId="0" applyFont="1"/>
    <xf numFmtId="0" fontId="8" fillId="0" borderId="1" xfId="0" applyFont="1" applyBorder="1"/>
    <xf numFmtId="0" fontId="8" fillId="2" borderId="0" xfId="0" applyFont="1" applyFill="1" applyBorder="1"/>
    <xf numFmtId="0" fontId="8" fillId="0" borderId="3" xfId="0" applyFont="1" applyBorder="1" applyAlignment="1">
      <alignment wrapText="1"/>
    </xf>
    <xf numFmtId="0" fontId="8" fillId="0" borderId="3" xfId="0" applyFont="1" applyBorder="1"/>
    <xf numFmtId="0" fontId="5" fillId="0" borderId="3" xfId="0" applyFont="1" applyBorder="1" applyAlignment="1">
      <alignment wrapText="1"/>
    </xf>
    <xf numFmtId="0" fontId="5" fillId="0" borderId="3" xfId="0" applyFont="1" applyBorder="1"/>
    <xf numFmtId="0" fontId="9" fillId="0" borderId="3" xfId="0" applyFont="1" applyBorder="1"/>
    <xf numFmtId="165" fontId="7" fillId="0" borderId="0" xfId="2" applyNumberFormat="1" applyFont="1"/>
    <xf numFmtId="0" fontId="0" fillId="0" borderId="0" xfId="0" applyNumberFormat="1" applyAlignment="1">
      <alignment wrapText="1"/>
    </xf>
    <xf numFmtId="0" fontId="0" fillId="0" borderId="0" xfId="0" applyNumberFormat="1"/>
    <xf numFmtId="164" fontId="9" fillId="0" borderId="3" xfId="1" applyFont="1" applyBorder="1"/>
    <xf numFmtId="0" fontId="0" fillId="0" borderId="0" xfId="0" applyAlignment="1">
      <alignment vertical="center" wrapText="1"/>
    </xf>
    <xf numFmtId="0" fontId="0" fillId="0" borderId="0" xfId="0" applyAlignment="1">
      <alignment vertical="center" wrapText="1"/>
    </xf>
    <xf numFmtId="0" fontId="6" fillId="0" borderId="0" xfId="3"/>
    <xf numFmtId="0" fontId="0" fillId="0" borderId="0" xfId="0" applyFill="1"/>
    <xf numFmtId="0" fontId="11" fillId="0" borderId="0" xfId="0" applyFont="1" applyFill="1" applyAlignment="1">
      <alignment horizontal="center" vertical="center" wrapText="1"/>
    </xf>
    <xf numFmtId="0" fontId="12" fillId="0" borderId="0" xfId="0" applyFont="1" applyFill="1" applyAlignment="1">
      <alignment horizontal="center" vertical="center" wrapText="1"/>
    </xf>
    <xf numFmtId="166" fontId="10" fillId="0" borderId="3" xfId="0" applyNumberFormat="1" applyFont="1" applyBorder="1" applyAlignment="1">
      <alignment horizontal="right" indent="1"/>
    </xf>
    <xf numFmtId="0" fontId="0" fillId="0" borderId="0" xfId="0" applyAlignment="1">
      <alignment vertical="center" wrapText="1"/>
    </xf>
    <xf numFmtId="166" fontId="10" fillId="0" borderId="0" xfId="0" applyNumberFormat="1" applyFont="1" applyBorder="1" applyAlignment="1">
      <alignment horizontal="right" indent="1"/>
    </xf>
    <xf numFmtId="166" fontId="10" fillId="0" borderId="0" xfId="0" applyNumberFormat="1" applyFont="1" applyFill="1" applyBorder="1" applyAlignment="1">
      <alignment horizontal="right" indent="1"/>
    </xf>
    <xf numFmtId="0" fontId="0" fillId="4" borderId="8" xfId="0" applyFont="1" applyFill="1" applyBorder="1"/>
    <xf numFmtId="0" fontId="0" fillId="4" borderId="9" xfId="0" applyFont="1" applyFill="1" applyBorder="1"/>
    <xf numFmtId="0" fontId="0" fillId="0" borderId="8" xfId="0" applyFont="1" applyBorder="1"/>
    <xf numFmtId="0" fontId="0" fillId="0" borderId="9" xfId="0" applyFont="1" applyBorder="1"/>
    <xf numFmtId="0" fontId="13" fillId="0" borderId="0" xfId="0" applyFont="1"/>
    <xf numFmtId="0" fontId="14" fillId="4" borderId="8" xfId="0" applyFont="1" applyFill="1" applyBorder="1"/>
    <xf numFmtId="0" fontId="14" fillId="0" borderId="8" xfId="0" applyFont="1" applyBorder="1"/>
    <xf numFmtId="0" fontId="0" fillId="0" borderId="0" xfId="0" applyNumberFormat="1" applyAlignment="1">
      <alignment vertical="center" wrapText="1"/>
    </xf>
    <xf numFmtId="0" fontId="0" fillId="0" borderId="10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11" xfId="0" applyFont="1" applyBorder="1" applyAlignment="1">
      <alignment vertical="center" wrapText="1"/>
    </xf>
    <xf numFmtId="0" fontId="0" fillId="0" borderId="11" xfId="0" applyFont="1" applyBorder="1" applyAlignment="1">
      <alignment vertical="center" wrapText="1"/>
    </xf>
    <xf numFmtId="0" fontId="4" fillId="0" borderId="12" xfId="0" applyFont="1" applyBorder="1" applyAlignment="1">
      <alignment vertical="center" wrapText="1"/>
    </xf>
    <xf numFmtId="166" fontId="10" fillId="0" borderId="13" xfId="0" applyNumberFormat="1" applyFont="1" applyBorder="1" applyAlignment="1">
      <alignment horizontal="right" indent="1"/>
    </xf>
    <xf numFmtId="166" fontId="10" fillId="0" borderId="14" xfId="0" applyNumberFormat="1" applyFont="1" applyFill="1" applyBorder="1" applyAlignment="1">
      <alignment horizontal="right" indent="1"/>
    </xf>
    <xf numFmtId="166" fontId="10" fillId="0" borderId="15" xfId="0" applyNumberFormat="1" applyFont="1" applyBorder="1" applyAlignment="1">
      <alignment horizontal="right" indent="1"/>
    </xf>
    <xf numFmtId="166" fontId="10" fillId="0" borderId="16" xfId="0" applyNumberFormat="1" applyFont="1" applyFill="1" applyBorder="1" applyAlignment="1">
      <alignment horizontal="right" indent="1"/>
    </xf>
    <xf numFmtId="0" fontId="11" fillId="5" borderId="0" xfId="0" applyFont="1" applyFill="1" applyAlignment="1">
      <alignment horizontal="center" vertical="center" wrapText="1"/>
    </xf>
    <xf numFmtId="0" fontId="12" fillId="5" borderId="0" xfId="0" applyFont="1" applyFill="1" applyAlignment="1">
      <alignment horizontal="center" vertical="center" wrapText="1"/>
    </xf>
    <xf numFmtId="0" fontId="0" fillId="0" borderId="0" xfId="0" applyAlignment="1">
      <alignment horizontal="center"/>
    </xf>
    <xf numFmtId="2" fontId="0" fillId="2" borderId="0" xfId="0" applyNumberFormat="1" applyFill="1" applyBorder="1"/>
    <xf numFmtId="166" fontId="0" fillId="0" borderId="0" xfId="0" applyNumberFormat="1"/>
    <xf numFmtId="167" fontId="0" fillId="0" borderId="0" xfId="0" applyNumberFormat="1"/>
    <xf numFmtId="168" fontId="0" fillId="0" borderId="0" xfId="0" applyNumberFormat="1"/>
    <xf numFmtId="0" fontId="8" fillId="0" borderId="0" xfId="0" applyFont="1" applyAlignment="1">
      <alignment horizontal="right"/>
    </xf>
    <xf numFmtId="164" fontId="9" fillId="0" borderId="3" xfId="1" applyNumberFormat="1" applyFont="1" applyBorder="1"/>
    <xf numFmtId="0" fontId="5" fillId="0" borderId="21" xfId="0" applyFont="1" applyBorder="1" applyAlignment="1">
      <alignment wrapText="1"/>
    </xf>
    <xf numFmtId="0" fontId="8" fillId="0" borderId="21" xfId="0" applyFont="1" applyBorder="1"/>
    <xf numFmtId="0" fontId="8" fillId="0" borderId="23" xfId="0" applyFont="1" applyBorder="1"/>
    <xf numFmtId="0" fontId="8" fillId="0" borderId="24" xfId="0" applyFont="1" applyBorder="1"/>
    <xf numFmtId="0" fontId="8" fillId="0" borderId="24" xfId="0" applyFont="1" applyBorder="1" applyAlignment="1">
      <alignment wrapText="1"/>
    </xf>
    <xf numFmtId="0" fontId="8" fillId="0" borderId="22" xfId="0" applyFont="1" applyBorder="1" applyAlignment="1">
      <alignment wrapText="1"/>
    </xf>
    <xf numFmtId="0" fontId="5" fillId="0" borderId="25" xfId="0" applyFont="1" applyBorder="1" applyAlignment="1">
      <alignment wrapText="1"/>
    </xf>
    <xf numFmtId="0" fontId="5" fillId="0" borderId="26" xfId="0" applyFont="1" applyBorder="1"/>
    <xf numFmtId="0" fontId="5" fillId="0" borderId="27" xfId="0" applyFont="1" applyBorder="1"/>
    <xf numFmtId="0" fontId="8" fillId="0" borderId="27" xfId="0" applyFont="1" applyBorder="1"/>
    <xf numFmtId="164" fontId="9" fillId="0" borderId="28" xfId="1" applyFont="1" applyBorder="1"/>
    <xf numFmtId="0" fontId="0" fillId="0" borderId="0" xfId="0" applyBorder="1"/>
    <xf numFmtId="164" fontId="7" fillId="0" borderId="0" xfId="0" applyNumberFormat="1" applyFont="1"/>
    <xf numFmtId="0" fontId="0" fillId="0" borderId="0" xfId="0" applyAlignment="1">
      <alignment vertical="center" wrapText="1"/>
    </xf>
    <xf numFmtId="0" fontId="16" fillId="0" borderId="0" xfId="0" applyFont="1"/>
    <xf numFmtId="0" fontId="10" fillId="0" borderId="15" xfId="0" applyFont="1" applyBorder="1" applyAlignment="1">
      <alignment horizontal="center"/>
    </xf>
    <xf numFmtId="0" fontId="10" fillId="0" borderId="15" xfId="0" applyFont="1" applyBorder="1" applyAlignment="1"/>
    <xf numFmtId="0" fontId="10" fillId="0" borderId="13" xfId="0" applyFont="1" applyBorder="1" applyAlignment="1"/>
    <xf numFmtId="166" fontId="10" fillId="0" borderId="14" xfId="0" applyNumberFormat="1" applyFont="1" applyFill="1" applyBorder="1" applyAlignment="1"/>
    <xf numFmtId="166" fontId="10" fillId="0" borderId="15" xfId="5" applyNumberFormat="1" applyFont="1" applyBorder="1" applyAlignment="1">
      <alignment horizontal="right" indent="1"/>
    </xf>
    <xf numFmtId="166" fontId="10" fillId="0" borderId="13" xfId="5" applyNumberFormat="1" applyFont="1" applyBorder="1" applyAlignment="1">
      <alignment horizontal="right" indent="1"/>
    </xf>
    <xf numFmtId="166" fontId="10" fillId="0" borderId="14" xfId="5" applyNumberFormat="1" applyFont="1" applyFill="1" applyBorder="1" applyAlignment="1">
      <alignment horizontal="right" indent="1"/>
    </xf>
    <xf numFmtId="166" fontId="10" fillId="0" borderId="16" xfId="5" applyNumberFormat="1" applyFont="1" applyFill="1" applyBorder="1" applyAlignment="1">
      <alignment horizontal="right" indent="1"/>
    </xf>
    <xf numFmtId="166" fontId="10" fillId="0" borderId="14" xfId="5" applyNumberFormat="1" applyFont="1" applyFill="1" applyBorder="1" applyAlignment="1"/>
    <xf numFmtId="0" fontId="10" fillId="0" borderId="13" xfId="5" applyFont="1" applyBorder="1" applyAlignment="1"/>
    <xf numFmtId="0" fontId="10" fillId="0" borderId="13" xfId="5" applyFont="1" applyBorder="1" applyAlignment="1">
      <alignment horizontal="center"/>
    </xf>
    <xf numFmtId="0" fontId="8" fillId="0" borderId="0" xfId="0" applyFont="1" applyAlignment="1">
      <alignment horizontal="right"/>
    </xf>
    <xf numFmtId="0" fontId="8" fillId="2" borderId="1" xfId="0" applyFont="1" applyFill="1" applyBorder="1"/>
    <xf numFmtId="0" fontId="17" fillId="0" borderId="1" xfId="0" applyFont="1" applyBorder="1"/>
    <xf numFmtId="0" fontId="8" fillId="0" borderId="20" xfId="0" applyFont="1" applyBorder="1"/>
    <xf numFmtId="0" fontId="8" fillId="0" borderId="20" xfId="0" applyFont="1" applyBorder="1" applyAlignment="1">
      <alignment wrapText="1"/>
    </xf>
    <xf numFmtId="0" fontId="9" fillId="0" borderId="0" xfId="0" applyFont="1" applyAlignment="1"/>
    <xf numFmtId="0" fontId="7" fillId="0" borderId="0" xfId="0" applyFont="1" applyAlignment="1"/>
    <xf numFmtId="0" fontId="8" fillId="0" borderId="0" xfId="0" applyFont="1" applyAlignment="1"/>
    <xf numFmtId="0" fontId="5" fillId="0" borderId="33" xfId="0" applyFont="1" applyBorder="1" applyAlignment="1">
      <alignment wrapText="1"/>
    </xf>
    <xf numFmtId="0" fontId="5" fillId="0" borderId="15" xfId="0" applyFont="1" applyBorder="1" applyAlignment="1">
      <alignment wrapText="1"/>
    </xf>
    <xf numFmtId="0" fontId="8" fillId="0" borderId="15" xfId="0" applyFont="1" applyBorder="1"/>
    <xf numFmtId="0" fontId="8" fillId="0" borderId="13" xfId="0" applyFont="1" applyBorder="1"/>
    <xf numFmtId="0" fontId="8" fillId="0" borderId="31" xfId="0" applyFont="1" applyBorder="1"/>
    <xf numFmtId="164" fontId="9" fillId="0" borderId="0" xfId="1" applyFont="1"/>
    <xf numFmtId="4" fontId="17" fillId="0" borderId="1" xfId="0" applyNumberFormat="1" applyFont="1" applyBorder="1"/>
    <xf numFmtId="0" fontId="0" fillId="0" borderId="0" xfId="0" applyAlignment="1">
      <alignment vertical="center" wrapText="1"/>
    </xf>
    <xf numFmtId="166" fontId="10" fillId="0" borderId="13" xfId="0" applyNumberFormat="1" applyFont="1" applyFill="1" applyBorder="1" applyAlignment="1">
      <alignment horizontal="right" indent="1"/>
    </xf>
    <xf numFmtId="166" fontId="10" fillId="0" borderId="15" xfId="0" applyNumberFormat="1" applyFont="1" applyFill="1" applyBorder="1" applyAlignment="1">
      <alignment horizontal="right" indent="1"/>
    </xf>
    <xf numFmtId="0" fontId="8" fillId="0" borderId="0" xfId="0" applyFont="1" applyAlignment="1">
      <alignment wrapText="1"/>
    </xf>
    <xf numFmtId="0" fontId="0" fillId="0" borderId="0" xfId="0" applyAlignment="1">
      <alignment wrapText="1"/>
    </xf>
    <xf numFmtId="164" fontId="9" fillId="0" borderId="20" xfId="1" applyFont="1" applyBorder="1" applyAlignment="1">
      <alignment horizontal="center" vertical="center"/>
    </xf>
    <xf numFmtId="164" fontId="9" fillId="0" borderId="21" xfId="1" applyFont="1" applyBorder="1" applyAlignment="1">
      <alignment horizontal="center" vertical="center"/>
    </xf>
    <xf numFmtId="0" fontId="8" fillId="0" borderId="30" xfId="0" applyFont="1" applyBorder="1" applyAlignment="1">
      <alignment horizontal="right"/>
    </xf>
    <xf numFmtId="0" fontId="8" fillId="0" borderId="0" xfId="0" applyFont="1" applyBorder="1" applyAlignment="1">
      <alignment horizontal="right"/>
    </xf>
    <xf numFmtId="0" fontId="8" fillId="0" borderId="19" xfId="0" applyFont="1" applyBorder="1" applyAlignment="1">
      <alignment horizontal="right"/>
    </xf>
    <xf numFmtId="0" fontId="20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right"/>
    </xf>
    <xf numFmtId="168" fontId="8" fillId="0" borderId="17" xfId="0" applyNumberFormat="1" applyFont="1" applyBorder="1" applyAlignment="1">
      <alignment horizontal="right" vertical="center"/>
    </xf>
    <xf numFmtId="168" fontId="8" fillId="0" borderId="18" xfId="0" applyNumberFormat="1" applyFont="1" applyBorder="1" applyAlignment="1">
      <alignment horizontal="right" vertical="center"/>
    </xf>
    <xf numFmtId="0" fontId="8" fillId="0" borderId="17" xfId="0" applyFont="1" applyBorder="1" applyAlignment="1">
      <alignment horizontal="right"/>
    </xf>
    <xf numFmtId="0" fontId="8" fillId="0" borderId="29" xfId="0" applyFont="1" applyBorder="1" applyAlignment="1">
      <alignment horizontal="right"/>
    </xf>
    <xf numFmtId="0" fontId="15" fillId="0" borderId="31" xfId="0" applyFont="1" applyBorder="1" applyAlignment="1">
      <alignment horizontal="left" wrapText="1"/>
    </xf>
    <xf numFmtId="0" fontId="15" fillId="0" borderId="32" xfId="0" applyFont="1" applyBorder="1" applyAlignment="1">
      <alignment horizontal="left" wrapText="1"/>
    </xf>
    <xf numFmtId="0" fontId="15" fillId="0" borderId="2" xfId="0" applyFont="1" applyBorder="1" applyAlignment="1">
      <alignment horizontal="left" wrapText="1"/>
    </xf>
    <xf numFmtId="0" fontId="8" fillId="0" borderId="0" xfId="0" applyFont="1" applyAlignment="1">
      <alignment horizontal="left" wrapText="1"/>
    </xf>
    <xf numFmtId="0" fontId="8" fillId="0" borderId="34" xfId="0" applyFont="1" applyBorder="1" applyAlignment="1">
      <alignment horizontal="right"/>
    </xf>
    <xf numFmtId="0" fontId="8" fillId="0" borderId="35" xfId="0" applyFont="1" applyBorder="1" applyAlignment="1">
      <alignment horizontal="right"/>
    </xf>
    <xf numFmtId="0" fontId="8" fillId="0" borderId="36" xfId="0" applyFont="1" applyBorder="1" applyAlignment="1">
      <alignment horizontal="right"/>
    </xf>
    <xf numFmtId="0" fontId="8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horizontal="left" wrapText="1"/>
    </xf>
    <xf numFmtId="164" fontId="9" fillId="0" borderId="37" xfId="1" applyFont="1" applyBorder="1" applyAlignment="1">
      <alignment horizontal="center" vertical="center"/>
    </xf>
    <xf numFmtId="164" fontId="9" fillId="0" borderId="38" xfId="1" applyFont="1" applyBorder="1" applyAlignment="1">
      <alignment horizontal="center" vertical="center"/>
    </xf>
    <xf numFmtId="0" fontId="8" fillId="0" borderId="18" xfId="0" applyFont="1" applyBorder="1" applyAlignment="1">
      <alignment horizontal="right"/>
    </xf>
    <xf numFmtId="0" fontId="15" fillId="0" borderId="5" xfId="0" applyFont="1" applyBorder="1" applyAlignment="1">
      <alignment horizontal="left" wrapText="1"/>
    </xf>
    <xf numFmtId="0" fontId="15" fillId="0" borderId="6" xfId="0" applyFont="1" applyBorder="1" applyAlignment="1">
      <alignment horizontal="left" wrapText="1"/>
    </xf>
    <xf numFmtId="0" fontId="15" fillId="0" borderId="7" xfId="0" applyFont="1" applyBorder="1" applyAlignment="1">
      <alignment horizontal="left" wrapText="1"/>
    </xf>
    <xf numFmtId="0" fontId="0" fillId="0" borderId="0" xfId="0" applyAlignment="1">
      <alignment horizontal="center"/>
    </xf>
    <xf numFmtId="0" fontId="0" fillId="0" borderId="0" xfId="0" applyAlignment="1">
      <alignment vertical="center" wrapText="1"/>
    </xf>
    <xf numFmtId="0" fontId="0" fillId="6" borderId="0" xfId="0" applyFill="1" applyAlignment="1">
      <alignment vertical="center" wrapText="1"/>
    </xf>
  </cellXfs>
  <cellStyles count="6">
    <cellStyle name="Гиперссылка" xfId="3" builtinId="8"/>
    <cellStyle name="Обычный" xfId="0" builtinId="0"/>
    <cellStyle name="Обычный 2" xfId="4"/>
    <cellStyle name="Обычный 3" xfId="5"/>
    <cellStyle name="Процентный" xfId="2" builtinId="5"/>
    <cellStyle name="Финансовый" xfId="1" builtinId="3"/>
  </cellStyles>
  <dxfs count="22">
    <dxf>
      <numFmt numFmtId="166" formatCode="0.0"/>
    </dxf>
    <dxf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general" vertical="center" textRotation="0" wrapText="1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general" vertical="center" textRotation="0" wrapText="1" indent="0" justifyLastLine="0" shrinkToFit="0" readingOrder="0"/>
      <border diagonalUp="0" diagonalDown="0">
        <left/>
        <right style="thin">
          <color theme="4"/>
        </right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general" vertical="center" textRotation="0" wrapText="1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border diagonalUp="0" diagonalDown="0">
        <left style="thin">
          <color theme="4" tint="0.39997558519241921"/>
        </left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general" vertical="center" textRotation="0" wrapText="1" indent="0" justifyLastLine="0" shrinkToFit="0" readingOrder="0"/>
    </dxf>
    <dxf>
      <numFmt numFmtId="2" formatCode="0.00"/>
    </dxf>
    <dxf>
      <numFmt numFmtId="0" formatCode="General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numFmt numFmtId="19" formatCode="dd/mm/yyyy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781050</xdr:colOff>
      <xdr:row>17</xdr:row>
      <xdr:rowOff>152400</xdr:rowOff>
    </xdr:from>
    <xdr:to>
      <xdr:col>8</xdr:col>
      <xdr:colOff>380758</xdr:colOff>
      <xdr:row>19</xdr:row>
      <xdr:rowOff>89954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43900" y="4029075"/>
          <a:ext cx="1609483" cy="43285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238125</xdr:colOff>
      <xdr:row>6</xdr:row>
      <xdr:rowOff>47625</xdr:rowOff>
    </xdr:from>
    <xdr:to>
      <xdr:col>9</xdr:col>
      <xdr:colOff>604837</xdr:colOff>
      <xdr:row>13</xdr:row>
      <xdr:rowOff>95250</xdr:rowOff>
    </xdr:to>
    <xdr:sp macro="" textlink="">
      <xdr:nvSpPr>
        <xdr:cNvPr id="3" name="Стрелка влево 2"/>
        <xdr:cNvSpPr/>
      </xdr:nvSpPr>
      <xdr:spPr>
        <a:xfrm>
          <a:off x="4953000" y="1019175"/>
          <a:ext cx="1585912" cy="11811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ru-RU" sz="1100"/>
            <a:t>Здесь индексы по прочим для нормо-дня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581025</xdr:colOff>
      <xdr:row>0</xdr:row>
      <xdr:rowOff>152400</xdr:rowOff>
    </xdr:from>
    <xdr:to>
      <xdr:col>8</xdr:col>
      <xdr:colOff>542925</xdr:colOff>
      <xdr:row>39</xdr:row>
      <xdr:rowOff>85725</xdr:rowOff>
    </xdr:to>
    <xdr:sp macro="" textlink="">
      <xdr:nvSpPr>
        <xdr:cNvPr id="3" name="Стрелка влево 2"/>
        <xdr:cNvSpPr/>
      </xdr:nvSpPr>
      <xdr:spPr>
        <a:xfrm>
          <a:off x="3495675" y="152400"/>
          <a:ext cx="1790700" cy="203835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ru-RU" sz="1100"/>
            <a:t>Здесь индексы по всем элемента для пересчета на 01.01.25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LEX\PLEX.xla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tkeys"/>
      <sheetName val="PLEX"/>
    </sheetNames>
    <definedNames>
      <definedName name="propis"/>
    </definedNames>
    <sheetDataSet>
      <sheetData sheetId="0"/>
      <sheetData sheetId="1" refreshError="1"/>
    </sheetDataSet>
  </externalBook>
</externalLink>
</file>

<file path=xl/tables/table1.xml><?xml version="1.0" encoding="utf-8"?>
<table xmlns="http://schemas.openxmlformats.org/spreadsheetml/2006/main" id="1" name="Таблица1" displayName="Таблица1" ref="A1:A4" totalsRowShown="0">
  <autoFilter ref="A1:A4"/>
  <tableColumns count="1">
    <tableColumn id="1" name="год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id="2" name="Таблица2" displayName="Таблица2" ref="B1:B13" totalsRowShown="0">
  <autoFilter ref="B1:B13"/>
  <tableColumns count="1">
    <tableColumn id="1" name="месяц"/>
  </tableColumns>
  <tableStyleInfo name="TableStyleLight12" showFirstColumn="0" showLastColumn="0" showRowStripes="1" showColumnStripes="0"/>
</table>
</file>

<file path=xl/tables/table3.xml><?xml version="1.0" encoding="utf-8"?>
<table xmlns="http://schemas.openxmlformats.org/spreadsheetml/2006/main" id="3" name="Таблица3" displayName="Таблица3" ref="C1:D2" totalsRowShown="0">
  <autoFilter ref="C1:D2"/>
  <tableColumns count="2">
    <tableColumn id="1" name="ставка"/>
    <tableColumn id="2" name="начало действия" dataDxfId="21"/>
  </tableColumns>
  <tableStyleInfo name="TableStyleLight14" showFirstColumn="0" showLastColumn="0" showRowStripes="1" showColumnStripes="0"/>
</table>
</file>

<file path=xl/tables/table4.xml><?xml version="1.0" encoding="utf-8"?>
<table xmlns="http://schemas.openxmlformats.org/spreadsheetml/2006/main" id="4" name="Таблица4" displayName="Таблица4" ref="A19:C21" totalsRowShown="0" dataDxfId="20">
  <autoFilter ref="A19:C21"/>
  <tableColumns count="3">
    <tableColumn id="1" name="предприятие" dataDxfId="19"/>
    <tableColumn id="2" name="должность руководителя" dataDxfId="18"/>
    <tableColumn id="3" name="ФИО" dataDxfId="17"/>
  </tableColumns>
  <tableStyleInfo name="TableStyleLight13" showFirstColumn="0" showLastColumn="0" showRowStripes="1" showColumnStripes="0"/>
</table>
</file>

<file path=xl/tables/table5.xml><?xml version="1.0" encoding="utf-8"?>
<table xmlns="http://schemas.openxmlformats.org/spreadsheetml/2006/main" id="5" name="Таблица5" displayName="Таблица5" ref="A2:I23" totalsRowShown="0" headerRowDxfId="16">
  <autoFilter ref="A2:I23"/>
  <tableColumns count="9">
    <tableColumn id="7" name="номер пп"/>
    <tableColumn id="1" name="градация"/>
    <tableColumn id="8" name="Столбец1" dataDxfId="15">
      <calculatedColumnFormula>Таблица5[[#This Row],[номер пп]]</calculatedColumnFormula>
    </tableColumn>
    <tableColumn id="2" name="общее руководство проект. и план."/>
    <tableColumn id="3" name="финконтроль"/>
    <tableColumn id="4" name="технадзор"/>
    <tableColumn id="5" name="общее руководство строит. и пусконаладк"/>
    <tableColumn id="6" name="заверш. строит и приемка в эксп"/>
    <tableColumn id="9" name="норма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Таблица6" displayName="Таблица6" ref="A1:G13" totalsRowShown="0" headerRowDxfId="14" dataDxfId="13">
  <autoFilter ref="A1:G13"/>
  <tableColumns count="7">
    <tableColumn id="1" name="месяц"/>
    <tableColumn id="2" name="Столбец1" dataDxfId="12"/>
    <tableColumn id="3" name="2023" dataDxfId="11">
      <calculatedColumnFormula>ROUND(C1*B2,4)</calculatedColumnFormula>
    </tableColumn>
    <tableColumn id="4" name="Столбец2" dataDxfId="10"/>
    <tableColumn id="5" name="2024" dataDxfId="9"/>
    <tableColumn id="6" name="Столбец3" dataDxfId="8"/>
    <tableColumn id="7" name="2025" dataDxfId="7"/>
  </tableColumns>
  <tableStyleInfo name="TableStyleLight9" showFirstColumn="0" showLastColumn="0" showRowStripes="1" showColumnStripes="0"/>
</table>
</file>

<file path=xl/tables/table7.xml><?xml version="1.0" encoding="utf-8"?>
<table xmlns="http://schemas.openxmlformats.org/spreadsheetml/2006/main" id="8" name="прочие" displayName="прочие" ref="A18:D54" totalsRowShown="0">
  <autoFilter ref="A18:D54"/>
  <tableColumns count="4">
    <tableColumn id="1" name="период" dataDxfId="6"/>
    <tableColumn id="2" name="индекс" dataDxfId="5"/>
    <tableColumn id="3" name="индекс_год" dataDxfId="4">
      <calculatedColumnFormula>ROUND(C18*B19,4)</calculatedColumnFormula>
    </tableColumn>
    <tableColumn id="4" name="индекс_янв25" dataDxfId="3">
      <calculatedColumnFormula>ROUND(D18*B19,4)</calculatedColumnFormula>
    </tableColumn>
  </tableColumns>
  <tableStyleInfo name="TableStyleLight9" showFirstColumn="0" showLastColumn="0" showRowStripes="1" showColumnStripes="0"/>
</table>
</file>

<file path=xl/tables/table8.xml><?xml version="1.0" encoding="utf-8"?>
<table xmlns="http://schemas.openxmlformats.org/spreadsheetml/2006/main" id="7" name="нацстат" displayName="нацстат" ref="B1:E37" totalsRowShown="0">
  <autoFilter ref="B1:E37"/>
  <tableColumns count="4">
    <tableColumn id="5" name="годмесяц" dataDxfId="2"/>
    <tableColumn id="2" name="год" dataDxfId="1">
      <calculatedColumnFormula>IF(E51&gt;0,E51,100.73)</calculatedColumnFormula>
    </tableColumn>
    <tableColumn id="3" name="нарастающим" dataDxfId="0">
      <calculatedColumnFormula>ROUND(D1*C2/100,4)</calculatedColumnFormula>
    </tableColumn>
    <tableColumn id="4" name="признак">
      <calculatedColumnFormula>IF(C51&gt;0,"факт","прогноз")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customProperty" Target="../customProperty4.bin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customProperty" Target="../customProperty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customProperty" Target="../customProperty6.bin"/><Relationship Id="rId1" Type="http://schemas.openxmlformats.org/officeDocument/2006/relationships/hyperlink" Target="https://snzt.by/spravka.html" TargetMode="External"/><Relationship Id="rId5" Type="http://schemas.openxmlformats.org/officeDocument/2006/relationships/table" Target="../tables/table7.xml"/><Relationship Id="rId4" Type="http://schemas.openxmlformats.org/officeDocument/2006/relationships/table" Target="../tables/table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s://snzt.by/spravka.html" TargetMode="External"/><Relationship Id="rId1" Type="http://schemas.openxmlformats.org/officeDocument/2006/relationships/hyperlink" Target="https://www.belstat.gov.by/ofitsialnaya-statistika/realny-sector-ekonomiki/tseny/tseny-proizvoditeley/operativnye-dannye/izmenenie-tsen/" TargetMode="External"/><Relationship Id="rId6" Type="http://schemas.openxmlformats.org/officeDocument/2006/relationships/table" Target="../tables/table8.xml"/><Relationship Id="rId5" Type="http://schemas.openxmlformats.org/officeDocument/2006/relationships/drawing" Target="../drawings/drawing3.xml"/><Relationship Id="rId4" Type="http://schemas.openxmlformats.org/officeDocument/2006/relationships/customProperty" Target="../customProperty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E54"/>
  <sheetViews>
    <sheetView topLeftCell="A13" zoomScale="80" zoomScaleNormal="80" workbookViewId="0">
      <selection activeCell="A13" sqref="A13"/>
    </sheetView>
  </sheetViews>
  <sheetFormatPr defaultColWidth="9.140625" defaultRowHeight="12.75" x14ac:dyDescent="0.2"/>
  <cols>
    <col min="1" max="1" width="56.28515625" style="15" customWidth="1"/>
    <col min="2" max="2" width="17" style="15" customWidth="1"/>
    <col min="3" max="5" width="18" style="15" customWidth="1"/>
    <col min="6" max="6" width="11.85546875" style="15" customWidth="1"/>
    <col min="7" max="16384" width="9.140625" style="15"/>
  </cols>
  <sheetData>
    <row r="1" spans="1:5" ht="18.75" x14ac:dyDescent="0.3">
      <c r="C1" s="96" t="s">
        <v>30</v>
      </c>
      <c r="D1" s="97"/>
      <c r="E1" s="97"/>
    </row>
    <row r="2" spans="1:5" x14ac:dyDescent="0.2">
      <c r="C2" s="109" t="s">
        <v>179</v>
      </c>
      <c r="D2" s="110"/>
      <c r="E2" s="110"/>
    </row>
    <row r="3" spans="1:5" x14ac:dyDescent="0.2">
      <c r="C3" s="110"/>
      <c r="D3" s="110"/>
      <c r="E3" s="110"/>
    </row>
    <row r="4" spans="1:5" ht="39" customHeight="1" x14ac:dyDescent="0.2">
      <c r="C4" s="110"/>
      <c r="D4" s="110"/>
      <c r="E4" s="110"/>
    </row>
    <row r="5" spans="1:5" ht="18.75" x14ac:dyDescent="0.3">
      <c r="C5" s="98"/>
      <c r="D5" s="97"/>
      <c r="E5" s="97"/>
    </row>
    <row r="6" spans="1:5" ht="18.75" x14ac:dyDescent="0.3">
      <c r="C6" s="98" t="s">
        <v>180</v>
      </c>
      <c r="D6" s="97"/>
      <c r="E6" s="97"/>
    </row>
    <row r="7" spans="1:5" ht="17.25" customHeight="1" x14ac:dyDescent="0.2"/>
    <row r="8" spans="1:5" ht="20.25" customHeight="1" x14ac:dyDescent="0.2">
      <c r="A8" s="116" t="s">
        <v>77</v>
      </c>
      <c r="B8" s="116"/>
      <c r="C8" s="116"/>
      <c r="D8" s="116"/>
      <c r="E8" s="116"/>
    </row>
    <row r="9" spans="1:5" ht="20.25" customHeight="1" x14ac:dyDescent="0.2">
      <c r="A9" s="117" t="s">
        <v>177</v>
      </c>
      <c r="B9" s="117"/>
      <c r="C9" s="117"/>
      <c r="D9" s="117"/>
      <c r="E9" s="117"/>
    </row>
    <row r="10" spans="1:5" ht="19.5" customHeight="1" x14ac:dyDescent="0.3">
      <c r="A10" s="118"/>
      <c r="B10" s="118"/>
      <c r="C10" s="118"/>
      <c r="D10" s="118"/>
      <c r="E10" s="118"/>
    </row>
    <row r="11" spans="1:5" ht="24" hidden="1" customHeight="1" x14ac:dyDescent="0.3">
      <c r="A11" s="16"/>
      <c r="B11" s="16"/>
    </row>
    <row r="12" spans="1:5" ht="103.5" customHeight="1" x14ac:dyDescent="0.3">
      <c r="A12" s="16" t="s">
        <v>21</v>
      </c>
      <c r="B12" s="124" t="s">
        <v>181</v>
      </c>
      <c r="C12" s="125"/>
      <c r="D12" s="125"/>
      <c r="E12" s="126"/>
    </row>
    <row r="13" spans="1:5" ht="36" customHeight="1" x14ac:dyDescent="0.3">
      <c r="A13" s="16" t="s">
        <v>78</v>
      </c>
      <c r="B13" s="124" t="s">
        <v>173</v>
      </c>
      <c r="C13" s="125"/>
      <c r="D13" s="125"/>
      <c r="E13" s="126"/>
    </row>
    <row r="14" spans="1:5" ht="21.75" customHeight="1" x14ac:dyDescent="0.3">
      <c r="A14" s="16" t="s">
        <v>79</v>
      </c>
      <c r="B14" s="124" t="s">
        <v>178</v>
      </c>
      <c r="C14" s="125"/>
      <c r="D14" s="125"/>
      <c r="E14" s="126"/>
    </row>
    <row r="16" spans="1:5" ht="16.5" customHeight="1" thickBot="1" x14ac:dyDescent="0.35">
      <c r="A16" s="16" t="s">
        <v>22</v>
      </c>
      <c r="B16" s="16"/>
      <c r="C16" s="16"/>
      <c r="D16" s="16"/>
      <c r="E16" s="16"/>
    </row>
    <row r="17" spans="1:5" ht="18" customHeight="1" thickBot="1" x14ac:dyDescent="0.35">
      <c r="A17" s="119" t="s">
        <v>141</v>
      </c>
      <c r="B17" s="115"/>
      <c r="C17" s="17">
        <v>2025</v>
      </c>
      <c r="D17" s="91" t="s">
        <v>142</v>
      </c>
      <c r="E17" s="17" t="s">
        <v>5</v>
      </c>
    </row>
    <row r="18" spans="1:5" ht="19.5" thickBot="1" x14ac:dyDescent="0.35">
      <c r="A18" s="16"/>
      <c r="B18" s="16"/>
      <c r="C18" s="16"/>
      <c r="D18" s="16"/>
      <c r="E18" s="16"/>
    </row>
    <row r="19" spans="1:5" ht="20.25" thickBot="1" x14ac:dyDescent="0.35">
      <c r="A19" s="16" t="str">
        <f>"Предельная стоимость строительства в ценах на первое число "&amp;"("&amp;E17&amp;" "&amp;C17&amp;")"&amp;", руб"</f>
        <v>Предельная стоимость строительства в ценах на первое число (июнь 2025), руб</v>
      </c>
      <c r="B19" s="16"/>
      <c r="C19" s="16"/>
      <c r="D19" s="16"/>
      <c r="E19" s="93">
        <v>887</v>
      </c>
    </row>
    <row r="20" spans="1:5" ht="19.5" thickBot="1" x14ac:dyDescent="0.35">
      <c r="A20" s="16" t="s">
        <v>165</v>
      </c>
      <c r="B20" s="16"/>
      <c r="C20" s="16"/>
      <c r="D20" s="16"/>
      <c r="E20" s="120">
        <f>VLOOKUP(CONCATENATE(C17,E17),нацстат[#All],3,FALSE)</f>
        <v>1.0891</v>
      </c>
    </row>
    <row r="21" spans="1:5" ht="19.5" hidden="1" thickBot="1" x14ac:dyDescent="0.35">
      <c r="A21" s="119" t="str">
        <f>CONCATENATE("расчет: ","1,045*0,949*1,016*1,04"," = ")</f>
        <v xml:space="preserve">расчет: 1,045*0,949*1,016*1,04 = </v>
      </c>
      <c r="B21" s="119"/>
      <c r="C21" s="119"/>
      <c r="D21" s="115"/>
      <c r="E21" s="121"/>
    </row>
    <row r="22" spans="1:5" ht="24" customHeight="1" thickBot="1" x14ac:dyDescent="0.35">
      <c r="A22" s="16" t="s">
        <v>164</v>
      </c>
      <c r="B22" s="16"/>
      <c r="C22" s="16"/>
      <c r="D22" s="16"/>
      <c r="E22" s="122">
        <f>ROUND(E19/E20,2)</f>
        <v>814.43</v>
      </c>
    </row>
    <row r="23" spans="1:5" ht="18.75" hidden="1" x14ac:dyDescent="0.3">
      <c r="A23" s="119" t="str">
        <f>CONCATENATE("расчет: ",E19,"/",E20," = ")</f>
        <v xml:space="preserve">расчет: 887/1,0891 = </v>
      </c>
      <c r="B23" s="119"/>
      <c r="C23" s="119"/>
      <c r="D23" s="114"/>
      <c r="E23" s="123"/>
    </row>
    <row r="24" spans="1:5" ht="0.75" customHeight="1" thickBot="1" x14ac:dyDescent="0.35">
      <c r="A24" s="16" t="s">
        <v>74</v>
      </c>
      <c r="B24" s="16"/>
      <c r="C24" s="16"/>
      <c r="D24" s="16"/>
      <c r="E24" s="92">
        <f>IF(E22/1000&lt;1.35,0,"-")</f>
        <v>0</v>
      </c>
    </row>
    <row r="25" spans="1:5" ht="18.75" x14ac:dyDescent="0.3">
      <c r="A25" s="16"/>
      <c r="B25" s="16"/>
      <c r="C25" s="16"/>
      <c r="D25" s="16"/>
      <c r="E25" s="16"/>
    </row>
    <row r="26" spans="1:5" ht="18.75" x14ac:dyDescent="0.3">
      <c r="A26" s="16" t="s">
        <v>50</v>
      </c>
      <c r="B26" s="16"/>
      <c r="C26" s="16"/>
      <c r="D26" s="16"/>
      <c r="E26" s="16"/>
    </row>
    <row r="27" spans="1:5" ht="56.25" x14ac:dyDescent="0.3">
      <c r="A27" s="94"/>
      <c r="B27" s="94" t="s">
        <v>136</v>
      </c>
      <c r="C27" s="95" t="s">
        <v>49</v>
      </c>
      <c r="D27" s="95" t="s">
        <v>76</v>
      </c>
      <c r="E27" s="19" t="s">
        <v>60</v>
      </c>
    </row>
    <row r="28" spans="1:5" ht="39" x14ac:dyDescent="0.35">
      <c r="A28" s="21" t="s">
        <v>161</v>
      </c>
      <c r="B28" s="21" t="str">
        <f>CONCATENATE("И01010"&amp;$E$24&amp;"0а")</f>
        <v>И0101000а</v>
      </c>
      <c r="C28" s="20">
        <f>VLOOKUP($E$24,Таблица5[#All],4,FALSE)</f>
        <v>0.01</v>
      </c>
      <c r="D28" s="20">
        <f>VLOOKUP($E$24+1,Таблица5[#All],4,FALSE)</f>
        <v>0.2</v>
      </c>
      <c r="E28" s="111">
        <f>ROUND(((C28+((D28-C28)/($D$38-$C$38))*($C$38-$E$22))*0.8*0.95),2)</f>
        <v>0.01</v>
      </c>
    </row>
    <row r="29" spans="1:5" ht="19.5" hidden="1" thickBot="1" x14ac:dyDescent="0.35">
      <c r="A29" s="113" t="str">
        <f>CONCATENATE("расчет: (",C28,"+","(",D28,"-",C28,")/(",$D$38,"-",$C$38,")","*","(",$C$38,"-",$E$22,")",")*0.8*0,95"," = ")</f>
        <v xml:space="preserve">расчет: (0,01+(0,2-0,01)/(44360-1350)*(1350-814,43))*0.8*0,95 = </v>
      </c>
      <c r="B29" s="114"/>
      <c r="C29" s="114"/>
      <c r="D29" s="115"/>
      <c r="E29" s="112"/>
    </row>
    <row r="30" spans="1:5" ht="18.75" customHeight="1" x14ac:dyDescent="0.3">
      <c r="A30" s="21" t="s">
        <v>45</v>
      </c>
      <c r="B30" s="21" t="str">
        <f t="shared" ref="B30:B38" si="0">CONCATENATE("И01010"&amp;$E$24&amp;"0а")</f>
        <v>И0101000а</v>
      </c>
      <c r="C30" s="20">
        <f>VLOOKUP($E$24,Таблица5[#All],5,FALSE)</f>
        <v>0.01</v>
      </c>
      <c r="D30" s="20">
        <f>VLOOKUP($E$24+1,Таблица5[#All],5,FALSE)</f>
        <v>0.4</v>
      </c>
      <c r="E30" s="111">
        <f>ROUND(((C30+((D30-C30)/($D$38-$C$38))*($C$38-$E$22))*0.8),2)</f>
        <v>0.01</v>
      </c>
    </row>
    <row r="31" spans="1:5" ht="19.5" hidden="1" thickBot="1" x14ac:dyDescent="0.35">
      <c r="A31" s="113" t="str">
        <f>CONCATENATE("расчет: (",C30,"+","(",D30,"-",C30,")/(",$D$38,"-",$C$38,")","*","(",$C$38,"-",$E$22,")",")*0.8"," = ")</f>
        <v xml:space="preserve">расчет: (0,01+(0,4-0,01)/(44360-1350)*(1350-814,43))*0.8 = </v>
      </c>
      <c r="B31" s="114"/>
      <c r="C31" s="114"/>
      <c r="D31" s="115"/>
      <c r="E31" s="112"/>
    </row>
    <row r="32" spans="1:5" ht="18.75" x14ac:dyDescent="0.3">
      <c r="A32" s="21" t="s">
        <v>46</v>
      </c>
      <c r="B32" s="21" t="str">
        <f t="shared" si="0"/>
        <v>И0101000а</v>
      </c>
      <c r="C32" s="20">
        <f>VLOOKUP($E$24,Таблица5[#All],6,FALSE)</f>
        <v>0.05</v>
      </c>
      <c r="D32" s="20">
        <f>VLOOKUP($E$24+1,Таблица5[#All],6,FALSE)</f>
        <v>1.6</v>
      </c>
      <c r="E32" s="111">
        <f>ROUND(((C32+((D32-C32)/($D$38-$C$38))*($C$38-$E$22))*0.8),2)</f>
        <v>0.06</v>
      </c>
    </row>
    <row r="33" spans="1:5" ht="19.5" hidden="1" thickBot="1" x14ac:dyDescent="0.35">
      <c r="A33" s="113" t="str">
        <f>CONCATENATE("расчет: (",C32,"+","(",D32,"-",C32,")/(",$D$38,"-",$C$38,")","*","(",$C$38,"-",$E$22,")",")*0.8"," = ")</f>
        <v xml:space="preserve">расчет: (0,05+(1,6-0,05)/(44360-1350)*(1350-814,43))*0.8 = </v>
      </c>
      <c r="B33" s="114"/>
      <c r="C33" s="114"/>
      <c r="D33" s="115"/>
      <c r="E33" s="112"/>
    </row>
    <row r="34" spans="1:5" ht="37.5" hidden="1" x14ac:dyDescent="0.3">
      <c r="A34" s="21" t="s">
        <v>47</v>
      </c>
      <c r="B34" s="21" t="str">
        <f t="shared" si="0"/>
        <v>И0101000а</v>
      </c>
      <c r="C34" s="20"/>
      <c r="D34" s="20"/>
      <c r="E34" s="111">
        <f>ROUND(((C34+((D34-C34)/($D$38-$C$38))*($C$38-$E$22))*0.8),2)</f>
        <v>0</v>
      </c>
    </row>
    <row r="35" spans="1:5" ht="19.5" hidden="1" thickBot="1" x14ac:dyDescent="0.35">
      <c r="A35" s="113" t="str">
        <f>CONCATENATE("расчет: (",C34,"+","(",D34,"-",C34,")/(",$D$38,"-",$C$38,")","*","(",$C$38,"-",$E$22,")",")*0.8"," = ")</f>
        <v xml:space="preserve">расчет: (+(-)/(44360-1350)*(1350-814,43))*0.8 = </v>
      </c>
      <c r="B35" s="114"/>
      <c r="C35" s="114"/>
      <c r="D35" s="115"/>
      <c r="E35" s="112"/>
    </row>
    <row r="36" spans="1:5" ht="37.5" x14ac:dyDescent="0.3">
      <c r="A36" s="21" t="s">
        <v>170</v>
      </c>
      <c r="B36" s="21" t="str">
        <f t="shared" si="0"/>
        <v>И0101000а</v>
      </c>
      <c r="C36" s="20">
        <f>VLOOKUP($E$24,Таблица5[#All],8,FALSE)</f>
        <v>0</v>
      </c>
      <c r="D36" s="20">
        <f>VLOOKUP($E$24+1,Таблица5[#All],8,FALSE)</f>
        <v>0.1</v>
      </c>
      <c r="E36" s="111">
        <f>ROUND(((C36+((D36-C36)/($D$38-$C$38))*($C$38-$E$22))*0.8),2)</f>
        <v>0</v>
      </c>
    </row>
    <row r="37" spans="1:5" ht="18.75" hidden="1" x14ac:dyDescent="0.3">
      <c r="A37" s="128" t="str">
        <f>CONCATENATE("расчет: (",C36,"+","(",D36,"-",C36,")/(",$D$38,"-",$C$38,")","*","(",$C$38,"-",$E$22,")",")*0.8"," = ")</f>
        <v xml:space="preserve">расчет: (0+(0,1-0)/(44360-1350)*(1350-814,43))*0.8 = </v>
      </c>
      <c r="B37" s="129"/>
      <c r="C37" s="129"/>
      <c r="D37" s="130"/>
      <c r="E37" s="112"/>
    </row>
    <row r="38" spans="1:5" ht="18.75" x14ac:dyDescent="0.3">
      <c r="A38" s="99" t="s">
        <v>80</v>
      </c>
      <c r="B38" s="100" t="str">
        <f t="shared" si="0"/>
        <v>И0101000а</v>
      </c>
      <c r="C38" s="101">
        <f>VLOOKUP($E$24,Таблица5[#All],2,FALSE)*1000</f>
        <v>1350</v>
      </c>
      <c r="D38" s="101">
        <f>VLOOKUP($E$24+1,Таблица5[#All],2,FALSE)*1000</f>
        <v>44360</v>
      </c>
      <c r="E38" s="27"/>
    </row>
    <row r="39" spans="1:5" ht="18.75" x14ac:dyDescent="0.3">
      <c r="A39" s="22" t="s">
        <v>51</v>
      </c>
      <c r="B39" s="22"/>
      <c r="C39" s="20"/>
      <c r="D39" s="20"/>
      <c r="E39" s="64">
        <f>SUM(E28:E36)</f>
        <v>0.08</v>
      </c>
    </row>
    <row r="40" spans="1:5" ht="18.75" x14ac:dyDescent="0.3">
      <c r="A40" s="16"/>
      <c r="B40" s="16"/>
      <c r="C40" s="16"/>
      <c r="D40" s="16"/>
      <c r="E40" s="16"/>
    </row>
    <row r="41" spans="1:5" ht="18.75" x14ac:dyDescent="0.3">
      <c r="A41" s="16" t="s">
        <v>159</v>
      </c>
      <c r="B41" s="16"/>
      <c r="C41" s="16"/>
      <c r="D41" s="16"/>
      <c r="E41" s="16">
        <v>385.56</v>
      </c>
    </row>
    <row r="42" spans="1:5" ht="18.75" x14ac:dyDescent="0.3">
      <c r="A42" s="16" t="str">
        <f>"Произведение индексов для перевода в цены на "&amp;E17&amp;" "&amp;C17</f>
        <v>Произведение индексов для перевода в цены на июнь 2025</v>
      </c>
      <c r="B42" s="16"/>
      <c r="C42" s="16"/>
      <c r="D42" s="16"/>
      <c r="E42" s="131">
        <v>1.0618000000000001</v>
      </c>
    </row>
    <row r="43" spans="1:5" ht="22.9" hidden="1" customHeight="1" x14ac:dyDescent="0.3">
      <c r="A43" s="127" t="str">
        <f>CONCATENATE("расчет: ","1,0067*1,0067*1,0067*1,0067"," = ")</f>
        <v xml:space="preserve">расчет: 1,0067*1,0067*1,0067*1,0067 = </v>
      </c>
      <c r="B43" s="127"/>
      <c r="C43" s="127"/>
      <c r="D43" s="132"/>
      <c r="E43" s="131"/>
    </row>
    <row r="44" spans="1:5" ht="18.75" x14ac:dyDescent="0.3">
      <c r="A44" s="16" t="str">
        <f>"Стоимость человеко-дня в ценах на "&amp;E17&amp;" "&amp;C17&amp;", руб."</f>
        <v>Стоимость человеко-дня в ценах на июнь 2025, руб.</v>
      </c>
      <c r="B44" s="16"/>
      <c r="C44" s="119"/>
      <c r="D44" s="119"/>
      <c r="E44" s="16">
        <f>ROUND(E41*E42,2)</f>
        <v>409.39</v>
      </c>
    </row>
    <row r="45" spans="1:5" ht="18.75" x14ac:dyDescent="0.3">
      <c r="A45" s="16"/>
      <c r="B45" s="16"/>
      <c r="C45" s="16"/>
      <c r="D45" s="16"/>
      <c r="E45" s="16"/>
    </row>
    <row r="46" spans="1:5" ht="18.75" x14ac:dyDescent="0.3">
      <c r="A46" s="16" t="s">
        <v>167</v>
      </c>
      <c r="B46" s="16"/>
      <c r="C46" s="119"/>
      <c r="D46" s="119"/>
      <c r="E46" s="104">
        <f>IF(ROUND(E39*E44,2)&lt;ROUND(E19*0.03,2),ROUND(E39*E44,2),ROUND(E19*0.03,2))</f>
        <v>26.61</v>
      </c>
    </row>
    <row r="47" spans="1:5" ht="21" customHeight="1" x14ac:dyDescent="0.3">
      <c r="A47" s="127" t="s">
        <v>176</v>
      </c>
      <c r="B47" s="127"/>
      <c r="C47" s="127"/>
      <c r="D47" s="127"/>
      <c r="E47" s="127"/>
    </row>
    <row r="48" spans="1:5" ht="24.75" customHeight="1" x14ac:dyDescent="0.3">
      <c r="A48" s="127" t="s">
        <v>83</v>
      </c>
      <c r="B48" s="127"/>
      <c r="C48" s="127"/>
      <c r="D48" s="127"/>
      <c r="E48" s="127"/>
    </row>
    <row r="49" spans="1:3" ht="24.75" customHeight="1" x14ac:dyDescent="0.2"/>
    <row r="50" spans="1:3" ht="18.75" x14ac:dyDescent="0.3">
      <c r="A50" s="16" t="s">
        <v>81</v>
      </c>
      <c r="B50" s="16"/>
      <c r="C50" s="16" t="s">
        <v>172</v>
      </c>
    </row>
    <row r="51" spans="1:3" ht="18.75" x14ac:dyDescent="0.3">
      <c r="A51" s="16"/>
      <c r="B51" s="16"/>
      <c r="C51" s="16"/>
    </row>
    <row r="52" spans="1:3" ht="18.75" x14ac:dyDescent="0.3">
      <c r="A52" s="16" t="s">
        <v>81</v>
      </c>
      <c r="B52" s="16"/>
      <c r="C52" s="16" t="s">
        <v>168</v>
      </c>
    </row>
    <row r="53" spans="1:3" ht="18.75" x14ac:dyDescent="0.3">
      <c r="A53" s="16"/>
      <c r="B53" s="16"/>
      <c r="C53" s="16"/>
    </row>
    <row r="54" spans="1:3" ht="18.75" x14ac:dyDescent="0.3">
      <c r="A54" s="16" t="s">
        <v>82</v>
      </c>
      <c r="B54" s="16"/>
      <c r="C54" s="16" t="s">
        <v>169</v>
      </c>
    </row>
  </sheetData>
  <mergeCells count="28">
    <mergeCell ref="B14:E14"/>
    <mergeCell ref="B13:E13"/>
    <mergeCell ref="E34:E35"/>
    <mergeCell ref="A35:D35"/>
    <mergeCell ref="A47:E47"/>
    <mergeCell ref="A48:E48"/>
    <mergeCell ref="E36:E37"/>
    <mergeCell ref="A37:D37"/>
    <mergeCell ref="E42:E43"/>
    <mergeCell ref="A43:D43"/>
    <mergeCell ref="C44:D44"/>
    <mergeCell ref="C46:D46"/>
    <mergeCell ref="C2:E4"/>
    <mergeCell ref="E30:E31"/>
    <mergeCell ref="A31:D31"/>
    <mergeCell ref="E32:E33"/>
    <mergeCell ref="A33:D33"/>
    <mergeCell ref="E28:E29"/>
    <mergeCell ref="A29:D29"/>
    <mergeCell ref="A8:E8"/>
    <mergeCell ref="A9:E9"/>
    <mergeCell ref="A10:E10"/>
    <mergeCell ref="A17:B17"/>
    <mergeCell ref="E20:E21"/>
    <mergeCell ref="A21:D21"/>
    <mergeCell ref="E22:E23"/>
    <mergeCell ref="A23:D23"/>
    <mergeCell ref="B12:E12"/>
  </mergeCells>
  <pageMargins left="0.7" right="0.7" top="0.75" bottom="0.75" header="0.3" footer="0.3"/>
  <pageSetup paperSize="9" scale="70" orientation="portrait" r:id="rId1"/>
  <customProperties>
    <customPr name="LastActive" r:id="rId2"/>
  </customPropertie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справка!$A$2:$A$4</xm:f>
          </x14:formula1>
          <xm:sqref>C17</xm:sqref>
        </x14:dataValidation>
        <x14:dataValidation type="list" allowBlank="1" showInputMessage="1" showErrorMessage="1">
          <x14:formula1>
            <xm:f>справка!$B$2:$B$13</xm:f>
          </x14:formula1>
          <xm:sqref>E17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L54"/>
  <sheetViews>
    <sheetView tabSelected="1" zoomScale="70" zoomScaleNormal="70" workbookViewId="0">
      <selection activeCell="J12" sqref="J12"/>
    </sheetView>
  </sheetViews>
  <sheetFormatPr defaultColWidth="9.140625" defaultRowHeight="12.75" x14ac:dyDescent="0.2"/>
  <cols>
    <col min="1" max="1" width="59" style="15" customWidth="1"/>
    <col min="2" max="2" width="15.42578125" style="15" customWidth="1"/>
    <col min="3" max="4" width="18" style="15" customWidth="1"/>
    <col min="5" max="5" width="19.28515625" style="15" customWidth="1"/>
    <col min="6" max="6" width="11.85546875" style="15" customWidth="1"/>
    <col min="7" max="16384" width="9.140625" style="15"/>
  </cols>
  <sheetData>
    <row r="1" spans="1:5" ht="18.75" x14ac:dyDescent="0.3">
      <c r="C1" s="96" t="s">
        <v>30</v>
      </c>
      <c r="D1" s="97"/>
      <c r="E1" s="97"/>
    </row>
    <row r="2" spans="1:5" x14ac:dyDescent="0.2">
      <c r="C2" s="109" t="s">
        <v>174</v>
      </c>
      <c r="D2" s="110"/>
      <c r="E2" s="110"/>
    </row>
    <row r="3" spans="1:5" x14ac:dyDescent="0.2">
      <c r="C3" s="110"/>
      <c r="D3" s="110"/>
      <c r="E3" s="110"/>
    </row>
    <row r="4" spans="1:5" ht="54" customHeight="1" x14ac:dyDescent="0.2">
      <c r="C4" s="110"/>
      <c r="D4" s="110"/>
      <c r="E4" s="110"/>
    </row>
    <row r="5" spans="1:5" ht="18.75" x14ac:dyDescent="0.3">
      <c r="C5" s="98"/>
      <c r="D5" s="97"/>
      <c r="E5" s="97"/>
    </row>
    <row r="6" spans="1:5" ht="18.75" x14ac:dyDescent="0.3">
      <c r="C6" s="98" t="s">
        <v>175</v>
      </c>
      <c r="D6" s="97"/>
      <c r="E6" s="97"/>
    </row>
    <row r="7" spans="1:5" ht="17.25" customHeight="1" x14ac:dyDescent="0.2"/>
    <row r="8" spans="1:5" ht="20.25" customHeight="1" x14ac:dyDescent="0.2">
      <c r="A8" s="116" t="s">
        <v>77</v>
      </c>
      <c r="B8" s="116"/>
      <c r="C8" s="116"/>
      <c r="D8" s="116"/>
      <c r="E8" s="116"/>
    </row>
    <row r="9" spans="1:5" ht="20.25" customHeight="1" x14ac:dyDescent="0.2">
      <c r="A9" s="117" t="s">
        <v>182</v>
      </c>
      <c r="B9" s="117"/>
      <c r="C9" s="117"/>
      <c r="D9" s="117"/>
      <c r="E9" s="117"/>
    </row>
    <row r="10" spans="1:5" ht="20.25" customHeight="1" x14ac:dyDescent="0.3">
      <c r="A10" s="118"/>
      <c r="B10" s="118"/>
      <c r="C10" s="118"/>
      <c r="D10" s="118"/>
      <c r="E10" s="118"/>
    </row>
    <row r="11" spans="1:5" ht="24" customHeight="1" x14ac:dyDescent="0.3">
      <c r="A11" s="16"/>
      <c r="B11" s="16"/>
    </row>
    <row r="12" spans="1:5" ht="74.25" customHeight="1" x14ac:dyDescent="0.3">
      <c r="A12" s="16" t="s">
        <v>21</v>
      </c>
      <c r="B12" s="124" t="s">
        <v>183</v>
      </c>
      <c r="C12" s="125"/>
      <c r="D12" s="125"/>
      <c r="E12" s="126"/>
    </row>
    <row r="13" spans="1:5" ht="36" customHeight="1" x14ac:dyDescent="0.3">
      <c r="A13" s="16" t="s">
        <v>78</v>
      </c>
      <c r="B13" s="124"/>
      <c r="C13" s="125"/>
      <c r="D13" s="125"/>
      <c r="E13" s="126"/>
    </row>
    <row r="14" spans="1:5" ht="21.75" customHeight="1" x14ac:dyDescent="0.3">
      <c r="A14" s="16" t="s">
        <v>79</v>
      </c>
      <c r="B14" s="124"/>
      <c r="C14" s="125"/>
      <c r="D14" s="125"/>
      <c r="E14" s="126"/>
    </row>
    <row r="16" spans="1:5" ht="19.5" thickBot="1" x14ac:dyDescent="0.35">
      <c r="A16" s="16"/>
      <c r="B16" s="16"/>
      <c r="C16" s="16"/>
      <c r="D16" s="16"/>
      <c r="E16" s="16"/>
    </row>
    <row r="17" spans="1:12" ht="19.5" thickBot="1" x14ac:dyDescent="0.35">
      <c r="A17" s="119" t="s">
        <v>141</v>
      </c>
      <c r="B17" s="115"/>
      <c r="C17" s="17">
        <v>2025</v>
      </c>
      <c r="D17" s="63" t="s">
        <v>142</v>
      </c>
      <c r="E17" s="17" t="s">
        <v>7</v>
      </c>
      <c r="L17" s="77"/>
    </row>
    <row r="18" spans="1:12" ht="19.5" thickBot="1" x14ac:dyDescent="0.35">
      <c r="A18" s="16"/>
      <c r="B18" s="16"/>
      <c r="C18" s="16"/>
      <c r="D18" s="16"/>
      <c r="E18" s="16"/>
    </row>
    <row r="19" spans="1:12" ht="20.25" thickBot="1" x14ac:dyDescent="0.35">
      <c r="A19" s="16" t="str">
        <f>"Предельная стоимость строительства в ценах на первое число "&amp;"("&amp;E17&amp;" "&amp;C17&amp;")"&amp;", руб"</f>
        <v>Предельная стоимость строительства в ценах на первое число (август 2025), руб</v>
      </c>
      <c r="B19" s="16"/>
      <c r="C19" s="16"/>
      <c r="D19" s="16"/>
      <c r="E19" s="105">
        <v>681010</v>
      </c>
    </row>
    <row r="20" spans="1:12" ht="19.5" thickBot="1" x14ac:dyDescent="0.35">
      <c r="A20" s="16" t="s">
        <v>165</v>
      </c>
      <c r="B20" s="16"/>
      <c r="C20" s="16"/>
      <c r="D20" s="16"/>
      <c r="E20" s="120">
        <f>VLOOKUP(CONCATENATE(C17,E17),нацстат[#All],3,FALSE)</f>
        <v>1.1220000000000001</v>
      </c>
    </row>
    <row r="21" spans="1:12" ht="19.5" hidden="1" thickBot="1" x14ac:dyDescent="0.35">
      <c r="A21" s="119" t="str">
        <f>CONCATENATE("расчет: ","1,045*0,949*1,016*1,04"," = ")</f>
        <v xml:space="preserve">расчет: 1,045*0,949*1,016*1,04 = </v>
      </c>
      <c r="B21" s="119"/>
      <c r="C21" s="119"/>
      <c r="D21" s="115"/>
      <c r="E21" s="121"/>
    </row>
    <row r="22" spans="1:12" ht="19.5" thickBot="1" x14ac:dyDescent="0.35">
      <c r="A22" s="16" t="s">
        <v>164</v>
      </c>
      <c r="B22" s="16"/>
      <c r="C22" s="16"/>
      <c r="D22" s="16"/>
      <c r="E22" s="122">
        <f>ROUND(E19/E20,2)</f>
        <v>606960.78</v>
      </c>
    </row>
    <row r="23" spans="1:12" ht="19.5" hidden="1" thickBot="1" x14ac:dyDescent="0.35">
      <c r="A23" s="119" t="str">
        <f>CONCATENATE("расчет: ",E19,"/",E20," = ")</f>
        <v xml:space="preserve">расчет: 681010/1,122 = </v>
      </c>
      <c r="B23" s="119"/>
      <c r="C23" s="119"/>
      <c r="D23" s="114"/>
      <c r="E23" s="135"/>
    </row>
    <row r="24" spans="1:12" ht="1.5" customHeight="1" thickBot="1" x14ac:dyDescent="0.35">
      <c r="A24" s="16" t="s">
        <v>74</v>
      </c>
      <c r="B24" s="16"/>
      <c r="C24" s="16"/>
      <c r="D24" s="16"/>
      <c r="E24" s="92">
        <f>VLOOKUP(E22/1000,'нормы табл1,1'!B3:O23,2,1)</f>
        <v>7</v>
      </c>
    </row>
    <row r="25" spans="1:12" ht="18.75" x14ac:dyDescent="0.3">
      <c r="A25" s="16"/>
      <c r="B25" s="16"/>
      <c r="C25" s="16"/>
      <c r="D25" s="16"/>
      <c r="E25" s="16"/>
    </row>
    <row r="26" spans="1:12" ht="19.5" thickBot="1" x14ac:dyDescent="0.35">
      <c r="A26" s="16" t="s">
        <v>50</v>
      </c>
      <c r="B26" s="16"/>
      <c r="C26" s="16"/>
      <c r="D26" s="16"/>
      <c r="E26" s="16"/>
      <c r="I26" s="77"/>
    </row>
    <row r="27" spans="1:12" ht="56.25" x14ac:dyDescent="0.3">
      <c r="A27" s="67"/>
      <c r="B27" s="68" t="s">
        <v>136</v>
      </c>
      <c r="C27" s="69" t="s">
        <v>49</v>
      </c>
      <c r="D27" s="69" t="s">
        <v>76</v>
      </c>
      <c r="E27" s="70" t="s">
        <v>60</v>
      </c>
    </row>
    <row r="28" spans="1:12" ht="39" x14ac:dyDescent="0.35">
      <c r="A28" s="21" t="s">
        <v>162</v>
      </c>
      <c r="B28" s="21" t="str">
        <f>CONCATENATE("И01010"&amp;$E$24&amp;"0а")</f>
        <v>И0101070а</v>
      </c>
      <c r="C28" s="20">
        <f>VLOOKUP($E$24,Таблица5[#All],4,FALSE)</f>
        <v>2.1</v>
      </c>
      <c r="D28" s="20">
        <f>VLOOKUP($E$24+1,Таблица5[#All],4,FALSE)</f>
        <v>3.1</v>
      </c>
      <c r="E28" s="111">
        <v>0</v>
      </c>
    </row>
    <row r="29" spans="1:12" ht="18.75" hidden="1" x14ac:dyDescent="0.3">
      <c r="A29" s="128" t="str">
        <f>CONCATENATE("расчет: ",C28,"+","(",D28,"-",C28,")/(",$D$38,"-",$C$38,")","*","(",$E$22,"-",$C$38,")*0,95 = ")</f>
        <v xml:space="preserve">расчет: 2,1+(3,1-2,1)/(886330-581380)*(606960,78-581380)*0,95 = </v>
      </c>
      <c r="B29" s="129"/>
      <c r="C29" s="129"/>
      <c r="D29" s="130"/>
      <c r="E29" s="112"/>
    </row>
    <row r="30" spans="1:12" ht="18.75" customHeight="1" x14ac:dyDescent="0.3">
      <c r="A30" s="21" t="s">
        <v>45</v>
      </c>
      <c r="B30" s="21" t="str">
        <f t="shared" ref="B30:B38" si="0">CONCATENATE("И01010"&amp;$E$24&amp;"0а")</f>
        <v>И0101070а</v>
      </c>
      <c r="C30" s="20">
        <f>VLOOKUP($E$24,Таблица5[#All],5,FALSE)</f>
        <v>4.3</v>
      </c>
      <c r="D30" s="20">
        <f>VLOOKUP($E$24+1,Таблица5[#All],5,FALSE)</f>
        <v>6.3</v>
      </c>
      <c r="E30" s="133">
        <v>0</v>
      </c>
    </row>
    <row r="31" spans="1:12" ht="18.75" hidden="1" x14ac:dyDescent="0.3">
      <c r="A31" s="128" t="str">
        <f>CONCATENATE("расчет: ",C30,"+","(",D30,"-",C30,")/(",$D$38,"-",$C$38,")","*","(",$E$22,"-",$C$38,") = ")</f>
        <v xml:space="preserve">расчет: 4,3+(6,3-4,3)/(886330-581380)*(606960,78-581380) = </v>
      </c>
      <c r="B31" s="129"/>
      <c r="C31" s="129"/>
      <c r="D31" s="130"/>
      <c r="E31" s="134"/>
    </row>
    <row r="32" spans="1:12" ht="18.75" x14ac:dyDescent="0.3">
      <c r="A32" s="99" t="s">
        <v>46</v>
      </c>
      <c r="B32" s="100" t="str">
        <f t="shared" si="0"/>
        <v>И0101070а</v>
      </c>
      <c r="C32" s="101">
        <f>VLOOKUP($E$24,Таблица5[#All],6,FALSE)</f>
        <v>17.899999999999999</v>
      </c>
      <c r="D32" s="102">
        <f>VLOOKUP($E$24+1,Таблица5[#All],6,FALSE)</f>
        <v>27</v>
      </c>
      <c r="E32" s="111">
        <f t="shared" ref="E32:E34" si="1">ROUND((C32+((D32-C32)/($D$38-$C$38))*($E$22-$C$38)),2)</f>
        <v>18.66</v>
      </c>
    </row>
    <row r="33" spans="1:5" ht="19.5" hidden="1" thickBot="1" x14ac:dyDescent="0.35">
      <c r="A33" s="113" t="str">
        <f>CONCATENATE("расчет: ",C32,"+","(",D32,"-",C32,")/(",$D$38,"-",$C$38,")","*","(",$E$22,"-",$C$38,") = ")</f>
        <v xml:space="preserve">расчет: 17,9+(27-17,9)/(886330-581380)*(606960,78-581380) = </v>
      </c>
      <c r="B33" s="114"/>
      <c r="C33" s="114"/>
      <c r="D33" s="114"/>
      <c r="E33" s="112"/>
    </row>
    <row r="34" spans="1:5" ht="37.5" hidden="1" x14ac:dyDescent="0.3">
      <c r="A34" s="21" t="s">
        <v>47</v>
      </c>
      <c r="B34" s="21" t="str">
        <f t="shared" si="0"/>
        <v>И0101070а</v>
      </c>
      <c r="C34" s="94"/>
      <c r="D34" s="94"/>
      <c r="E34" s="133">
        <f t="shared" si="1"/>
        <v>0</v>
      </c>
    </row>
    <row r="35" spans="1:5" ht="18.75" hidden="1" x14ac:dyDescent="0.3">
      <c r="A35" s="128" t="str">
        <f>CONCATENATE("расчет: ",C34,"+","(",D34,"-",C34,")/(",$D$38,"-",$C$38,")","*","(",$E$22,"-",$C$38,") = ")</f>
        <v xml:space="preserve">расчет: +(-)/(886330-581380)*(606960,78-581380) = </v>
      </c>
      <c r="B35" s="129"/>
      <c r="C35" s="129"/>
      <c r="D35" s="130"/>
      <c r="E35" s="134"/>
    </row>
    <row r="36" spans="1:5" ht="37.5" x14ac:dyDescent="0.3">
      <c r="A36" s="21" t="s">
        <v>170</v>
      </c>
      <c r="B36" s="21" t="str">
        <f t="shared" si="0"/>
        <v>И0101070а</v>
      </c>
      <c r="C36" s="20">
        <f>VLOOKUP($E$24,Таблица5[#All],8,FALSE)</f>
        <v>0.7</v>
      </c>
      <c r="D36" s="103">
        <f>VLOOKUP($E$24+1,Таблица5[#All],8,FALSE)</f>
        <v>0.9</v>
      </c>
      <c r="E36" s="111">
        <v>0</v>
      </c>
    </row>
    <row r="37" spans="1:5" ht="18.75" hidden="1" x14ac:dyDescent="0.3">
      <c r="A37" s="128" t="str">
        <f>CONCATENATE("расчет: ",C36,"+","(",D36,"-",C36,")/(",$D$38,"-",$C$38,")","*","(",$E$22,"-",$C$38,") = ")</f>
        <v xml:space="preserve">расчет: 0,7+(0,9-0,7)/(886330-581380)*(606960,78-581380) = </v>
      </c>
      <c r="B37" s="129"/>
      <c r="C37" s="129"/>
      <c r="D37" s="129"/>
      <c r="E37" s="112"/>
    </row>
    <row r="38" spans="1:5" ht="18.75" x14ac:dyDescent="0.3">
      <c r="A38" s="71" t="s">
        <v>80</v>
      </c>
      <c r="B38" s="65" t="str">
        <f t="shared" si="0"/>
        <v>И0101070а</v>
      </c>
      <c r="C38" s="66">
        <f>VLOOKUP($E$24,Таблица5[#All],2,FALSE)*1000</f>
        <v>581380</v>
      </c>
      <c r="D38" s="66">
        <f>VLOOKUP($E$24+1,Таблица5[#All],2,FALSE)*1000</f>
        <v>886330</v>
      </c>
      <c r="E38" s="27"/>
    </row>
    <row r="39" spans="1:5" ht="19.5" thickBot="1" x14ac:dyDescent="0.35">
      <c r="A39" s="72" t="s">
        <v>51</v>
      </c>
      <c r="B39" s="73"/>
      <c r="C39" s="74"/>
      <c r="D39" s="74"/>
      <c r="E39" s="75">
        <f>SUM(E28:E36)</f>
        <v>18.66</v>
      </c>
    </row>
    <row r="40" spans="1:5" ht="18.75" x14ac:dyDescent="0.3">
      <c r="A40" s="16"/>
      <c r="B40" s="16"/>
      <c r="C40" s="16"/>
      <c r="D40" s="16"/>
      <c r="E40" s="16"/>
    </row>
    <row r="41" spans="1:5" ht="18.75" x14ac:dyDescent="0.3">
      <c r="A41" s="16" t="s">
        <v>159</v>
      </c>
      <c r="B41" s="16"/>
      <c r="C41" s="16"/>
      <c r="D41" s="16"/>
      <c r="E41" s="16">
        <v>385.56</v>
      </c>
    </row>
    <row r="42" spans="1:5" ht="18.75" x14ac:dyDescent="0.3">
      <c r="A42" s="16" t="str">
        <f>"Произведение индексов для перевода в цены на "&amp;E17&amp;" "&amp;C17</f>
        <v>Произведение индексов для перевода в цены на август 2025</v>
      </c>
      <c r="B42" s="16"/>
      <c r="C42" s="16"/>
      <c r="D42" s="16"/>
      <c r="E42" s="131">
        <v>1</v>
      </c>
    </row>
    <row r="43" spans="1:5" ht="22.9" hidden="1" customHeight="1" x14ac:dyDescent="0.3">
      <c r="A43" s="127" t="str">
        <f>CONCATENATE("расчет: ","1,0067*1,0067*1,0067*1,0067"," = ")</f>
        <v xml:space="preserve">расчет: 1,0067*1,0067*1,0067*1,0067 = </v>
      </c>
      <c r="B43" s="127"/>
      <c r="C43" s="127"/>
      <c r="D43" s="132"/>
      <c r="E43" s="131"/>
    </row>
    <row r="44" spans="1:5" ht="18.75" x14ac:dyDescent="0.3">
      <c r="A44" s="16" t="str">
        <f>"Стоимость человеко-дня в ценах на "&amp;E17&amp;" "&amp;C17&amp;", руб."</f>
        <v>Стоимость человеко-дня в ценах на август 2025, руб.</v>
      </c>
      <c r="B44" s="16"/>
      <c r="C44" s="119"/>
      <c r="D44" s="119"/>
      <c r="E44" s="16">
        <f>ROUND(E41*E42,2)</f>
        <v>385.56</v>
      </c>
    </row>
    <row r="45" spans="1:5" ht="18.75" x14ac:dyDescent="0.3">
      <c r="A45" s="16"/>
      <c r="B45" s="16"/>
      <c r="C45" s="16"/>
      <c r="D45" s="16"/>
      <c r="E45" s="16"/>
    </row>
    <row r="46" spans="1:5" ht="18.75" x14ac:dyDescent="0.3">
      <c r="A46" s="16" t="s">
        <v>167</v>
      </c>
      <c r="B46" s="16"/>
      <c r="C46" s="119"/>
      <c r="D46" s="119"/>
      <c r="E46" s="104">
        <f>IF(ROUND(E39*E44,2)&lt;ROUND(E19*0.03,2),ROUND(E39*E44,2),ROUND(E19*0.03,2))</f>
        <v>7194.55</v>
      </c>
    </row>
    <row r="47" spans="1:5" ht="21" customHeight="1" x14ac:dyDescent="0.3">
      <c r="A47" s="127" t="s">
        <v>171</v>
      </c>
      <c r="B47" s="127"/>
      <c r="C47" s="127"/>
      <c r="D47" s="127"/>
      <c r="E47" s="127"/>
    </row>
    <row r="48" spans="1:5" ht="24.75" customHeight="1" x14ac:dyDescent="0.3">
      <c r="A48" s="127" t="s">
        <v>83</v>
      </c>
      <c r="B48" s="127"/>
      <c r="C48" s="127"/>
      <c r="D48" s="127"/>
      <c r="E48" s="127"/>
    </row>
    <row r="49" spans="1:3" ht="24.75" customHeight="1" x14ac:dyDescent="0.2"/>
    <row r="50" spans="1:3" ht="18.75" x14ac:dyDescent="0.3">
      <c r="A50" s="16" t="s">
        <v>81</v>
      </c>
      <c r="B50" s="16"/>
      <c r="C50" s="16" t="s">
        <v>184</v>
      </c>
    </row>
    <row r="51" spans="1:3" ht="18.75" x14ac:dyDescent="0.3">
      <c r="A51" s="16"/>
      <c r="B51" s="16"/>
      <c r="C51" s="16"/>
    </row>
    <row r="52" spans="1:3" ht="18.75" x14ac:dyDescent="0.3">
      <c r="A52" s="16" t="s">
        <v>81</v>
      </c>
      <c r="B52" s="16"/>
      <c r="C52" s="16" t="s">
        <v>185</v>
      </c>
    </row>
    <row r="53" spans="1:3" ht="18.75" x14ac:dyDescent="0.3">
      <c r="A53" s="16"/>
      <c r="B53" s="16"/>
      <c r="C53" s="16"/>
    </row>
    <row r="54" spans="1:3" ht="18.75" x14ac:dyDescent="0.3">
      <c r="A54" s="16" t="s">
        <v>82</v>
      </c>
      <c r="B54" s="16"/>
      <c r="C54" s="16" t="s">
        <v>169</v>
      </c>
    </row>
  </sheetData>
  <mergeCells count="28">
    <mergeCell ref="C2:E4"/>
    <mergeCell ref="A47:E47"/>
    <mergeCell ref="A48:E48"/>
    <mergeCell ref="A8:E8"/>
    <mergeCell ref="A9:E9"/>
    <mergeCell ref="A10:E10"/>
    <mergeCell ref="E20:E21"/>
    <mergeCell ref="A21:D21"/>
    <mergeCell ref="A29:D29"/>
    <mergeCell ref="E28:E29"/>
    <mergeCell ref="E22:E23"/>
    <mergeCell ref="A23:D23"/>
    <mergeCell ref="A17:B17"/>
    <mergeCell ref="A31:D31"/>
    <mergeCell ref="E30:E31"/>
    <mergeCell ref="C46:D46"/>
    <mergeCell ref="C44:D44"/>
    <mergeCell ref="A33:D33"/>
    <mergeCell ref="E32:E33"/>
    <mergeCell ref="A35:D35"/>
    <mergeCell ref="E34:E35"/>
    <mergeCell ref="B12:E12"/>
    <mergeCell ref="B14:E14"/>
    <mergeCell ref="E36:E37"/>
    <mergeCell ref="A43:D43"/>
    <mergeCell ref="E42:E43"/>
    <mergeCell ref="B13:E13"/>
    <mergeCell ref="A37:D37"/>
  </mergeCells>
  <pageMargins left="0.7" right="0.7" top="0.75" bottom="0.75" header="0.3" footer="0.3"/>
  <pageSetup paperSize="9" scale="69" orientation="portrait" r:id="rId1"/>
  <customProperties>
    <customPr name="LastActive" r:id="rId2"/>
  </customPropertie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справка!$B$2:$B$13</xm:f>
          </x14:formula1>
          <xm:sqref>E17</xm:sqref>
        </x14:dataValidation>
        <x14:dataValidation type="list" allowBlank="1" showInputMessage="1" showErrorMessage="1">
          <x14:formula1>
            <xm:f>справка!$A$2:$A$4</xm:f>
          </x14:formula1>
          <xm:sqref>C17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G43"/>
  <sheetViews>
    <sheetView topLeftCell="A16" workbookViewId="0">
      <selection activeCell="E26" sqref="E26"/>
    </sheetView>
  </sheetViews>
  <sheetFormatPr defaultColWidth="9.140625" defaultRowHeight="12.75" x14ac:dyDescent="0.2"/>
  <cols>
    <col min="1" max="1" width="59.42578125" style="15" customWidth="1"/>
    <col min="2" max="2" width="15.42578125" style="15" customWidth="1"/>
    <col min="3" max="5" width="18" style="15" customWidth="1"/>
    <col min="6" max="6" width="11.85546875" style="15" customWidth="1"/>
    <col min="7" max="16384" width="9.140625" style="15"/>
  </cols>
  <sheetData>
    <row r="1" spans="1:5" ht="18.75" x14ac:dyDescent="0.3">
      <c r="C1" s="16" t="s">
        <v>30</v>
      </c>
    </row>
    <row r="2" spans="1:5" ht="18.75" x14ac:dyDescent="0.3">
      <c r="C2" s="16" t="s">
        <v>31</v>
      </c>
    </row>
    <row r="3" spans="1:5" ht="18.75" x14ac:dyDescent="0.3">
      <c r="C3" s="16" t="s">
        <v>32</v>
      </c>
    </row>
    <row r="4" spans="1:5" ht="18.75" x14ac:dyDescent="0.3">
      <c r="C4" s="16" t="s">
        <v>33</v>
      </c>
    </row>
    <row r="5" spans="1:5" ht="18.75" x14ac:dyDescent="0.3">
      <c r="C5" s="16" t="s">
        <v>34</v>
      </c>
    </row>
    <row r="8" spans="1:5" ht="18.75" x14ac:dyDescent="0.3">
      <c r="A8" s="118" t="s">
        <v>77</v>
      </c>
      <c r="B8" s="118"/>
      <c r="C8" s="118"/>
      <c r="D8" s="118"/>
      <c r="E8" s="118"/>
    </row>
    <row r="9" spans="1:5" ht="18.75" x14ac:dyDescent="0.3">
      <c r="A9" s="118" t="s">
        <v>20</v>
      </c>
      <c r="B9" s="118"/>
      <c r="C9" s="118"/>
      <c r="D9" s="118"/>
      <c r="E9" s="118"/>
    </row>
    <row r="10" spans="1:5" ht="18.75" x14ac:dyDescent="0.3">
      <c r="A10" s="118" t="s">
        <v>29</v>
      </c>
      <c r="B10" s="118"/>
      <c r="C10" s="118"/>
      <c r="D10" s="118"/>
      <c r="E10" s="118"/>
    </row>
    <row r="11" spans="1:5" ht="19.5" thickBot="1" x14ac:dyDescent="0.35">
      <c r="A11" s="16"/>
      <c r="B11" s="16"/>
    </row>
    <row r="12" spans="1:5" ht="35.25" customHeight="1" thickBot="1" x14ac:dyDescent="0.35">
      <c r="A12" s="16" t="s">
        <v>21</v>
      </c>
      <c r="B12" s="16"/>
      <c r="C12" s="136" t="s">
        <v>138</v>
      </c>
      <c r="D12" s="137"/>
      <c r="E12" s="138"/>
    </row>
    <row r="13" spans="1:5" ht="38.25" customHeight="1" thickBot="1" x14ac:dyDescent="0.35">
      <c r="A13" s="16" t="s">
        <v>78</v>
      </c>
      <c r="B13" s="16"/>
      <c r="C13" s="136" t="s">
        <v>137</v>
      </c>
      <c r="D13" s="137"/>
      <c r="E13" s="138"/>
    </row>
    <row r="14" spans="1:5" ht="19.5" thickBot="1" x14ac:dyDescent="0.35">
      <c r="A14" s="16" t="s">
        <v>79</v>
      </c>
      <c r="B14" s="16"/>
      <c r="C14" s="136" t="s">
        <v>139</v>
      </c>
      <c r="D14" s="137"/>
      <c r="E14" s="138"/>
    </row>
    <row r="16" spans="1:5" ht="19.5" thickBot="1" x14ac:dyDescent="0.35">
      <c r="A16" s="16" t="s">
        <v>22</v>
      </c>
      <c r="B16" s="16"/>
      <c r="C16" s="16"/>
      <c r="D16" s="16"/>
      <c r="E16" s="16"/>
    </row>
    <row r="17" spans="1:5" ht="19.5" thickBot="1" x14ac:dyDescent="0.35">
      <c r="A17" s="16" t="s">
        <v>23</v>
      </c>
      <c r="B17" s="16"/>
      <c r="C17" s="17">
        <v>2024</v>
      </c>
      <c r="D17" s="16" t="s">
        <v>24</v>
      </c>
      <c r="E17" s="17" t="s">
        <v>3</v>
      </c>
    </row>
    <row r="18" spans="1:5" ht="19.5" thickBot="1" x14ac:dyDescent="0.35">
      <c r="A18" s="16"/>
      <c r="B18" s="16"/>
      <c r="C18" s="16"/>
      <c r="D18" s="16"/>
      <c r="E18" s="16"/>
    </row>
    <row r="19" spans="1:5" ht="19.5" thickBot="1" x14ac:dyDescent="0.35">
      <c r="A19" s="16" t="str">
        <f>"Предельная стоимость строительства в ценах на первое число "&amp;"("&amp;E17&amp;" "&amp;C17&amp;")"&amp;", руб"</f>
        <v>Предельная стоимость строительства в ценах на первое число (апрель 2024), руб</v>
      </c>
      <c r="B19" s="16"/>
      <c r="C19" s="16"/>
      <c r="D19" s="16"/>
      <c r="E19" s="17">
        <v>1000</v>
      </c>
    </row>
    <row r="20" spans="1:5" ht="19.5" thickBot="1" x14ac:dyDescent="0.35">
      <c r="A20" s="16" t="s">
        <v>35</v>
      </c>
      <c r="B20" s="16"/>
      <c r="C20" s="16"/>
      <c r="D20" s="16"/>
      <c r="E20" s="17">
        <f>VLOOKUP(C17&amp;E17,нацстат[#All],3,FALSE)</f>
        <v>0</v>
      </c>
    </row>
    <row r="21" spans="1:5" ht="19.5" thickBot="1" x14ac:dyDescent="0.35">
      <c r="A21" s="16" t="s">
        <v>36</v>
      </c>
      <c r="B21" s="16"/>
      <c r="C21" s="16"/>
      <c r="D21" s="16"/>
      <c r="E21" s="17" t="e">
        <f>ROUND(E19/E20,2)</f>
        <v>#DIV/0!</v>
      </c>
    </row>
    <row r="22" spans="1:5" ht="18.75" x14ac:dyDescent="0.3">
      <c r="A22" s="16" t="s">
        <v>74</v>
      </c>
      <c r="B22" s="16"/>
      <c r="C22" s="16"/>
      <c r="D22" s="16"/>
      <c r="E22" s="18" t="e">
        <f>IF(E21/1000&lt;1.07,0,"-")</f>
        <v>#DIV/0!</v>
      </c>
    </row>
    <row r="23" spans="1:5" ht="18.75" x14ac:dyDescent="0.3">
      <c r="A23" s="16"/>
      <c r="B23" s="16"/>
      <c r="C23" s="16"/>
      <c r="D23" s="16"/>
      <c r="E23" s="16"/>
    </row>
    <row r="24" spans="1:5" ht="18.75" x14ac:dyDescent="0.3">
      <c r="A24" s="16" t="s">
        <v>50</v>
      </c>
      <c r="B24" s="16"/>
      <c r="C24" s="16"/>
      <c r="D24" s="16"/>
      <c r="E24" s="16"/>
    </row>
    <row r="25" spans="1:5" ht="56.25" x14ac:dyDescent="0.3">
      <c r="A25" s="20"/>
      <c r="B25" s="20" t="s">
        <v>136</v>
      </c>
      <c r="C25" s="19" t="s">
        <v>49</v>
      </c>
      <c r="D25" s="19" t="s">
        <v>76</v>
      </c>
      <c r="E25" s="19" t="s">
        <v>60</v>
      </c>
    </row>
    <row r="26" spans="1:5" ht="37.5" x14ac:dyDescent="0.3">
      <c r="A26" s="21" t="s">
        <v>44</v>
      </c>
      <c r="B26" s="21" t="s">
        <v>131</v>
      </c>
      <c r="C26" s="20" t="e">
        <f>VLOOKUP($E$22,Таблица5[#All],4,FALSE)</f>
        <v>#DIV/0!</v>
      </c>
      <c r="D26" s="20" t="e">
        <f>VLOOKUP($E$22+1,Таблица5[#All],4,FALSE)</f>
        <v>#DIV/0!</v>
      </c>
      <c r="E26" s="23" t="e">
        <f>ROUND((C26-(((D26-C26)/($D$31/1000-$C$31/1000))*($C$31/1000-$E$21/1000))*0.8),2)</f>
        <v>#DIV/0!</v>
      </c>
    </row>
    <row r="27" spans="1:5" ht="18.75" x14ac:dyDescent="0.3">
      <c r="A27" s="21" t="s">
        <v>45</v>
      </c>
      <c r="B27" s="21" t="s">
        <v>131</v>
      </c>
      <c r="C27" s="20" t="e">
        <f>VLOOKUP($E$22,Таблица5[#All],5,FALSE)</f>
        <v>#DIV/0!</v>
      </c>
      <c r="D27" s="20" t="e">
        <f>VLOOKUP($E$22+1,Таблица5[#All],5,FALSE)</f>
        <v>#DIV/0!</v>
      </c>
      <c r="E27" s="23" t="e">
        <f t="shared" ref="E27:E30" si="0">ROUND((C27-(((D27-C27)/($D$31/1000-$C$31/1000))*($C$31/1000-$E$21/1000))*0.8),2)</f>
        <v>#DIV/0!</v>
      </c>
    </row>
    <row r="28" spans="1:5" ht="18.75" x14ac:dyDescent="0.3">
      <c r="A28" s="21" t="s">
        <v>46</v>
      </c>
      <c r="B28" s="21" t="s">
        <v>131</v>
      </c>
      <c r="C28" s="20" t="e">
        <f>VLOOKUP($E$22,Таблица5[#All],6,FALSE)</f>
        <v>#DIV/0!</v>
      </c>
      <c r="D28" s="20" t="e">
        <f>VLOOKUP($E$22+1,Таблица5[#All],6,FALSE)</f>
        <v>#DIV/0!</v>
      </c>
      <c r="E28" s="23" t="e">
        <f t="shared" si="0"/>
        <v>#DIV/0!</v>
      </c>
    </row>
    <row r="29" spans="1:5" ht="37.5" x14ac:dyDescent="0.3">
      <c r="A29" s="21" t="s">
        <v>47</v>
      </c>
      <c r="B29" s="21" t="s">
        <v>131</v>
      </c>
      <c r="C29" s="20" t="e">
        <f>VLOOKUP($E$22,Таблица5[#All],7,FALSE)</f>
        <v>#DIV/0!</v>
      </c>
      <c r="D29" s="20" t="e">
        <f>VLOOKUP($E$22+1,Таблица5[#All],7,FALSE)</f>
        <v>#DIV/0!</v>
      </c>
      <c r="E29" s="23" t="e">
        <f t="shared" si="0"/>
        <v>#DIV/0!</v>
      </c>
    </row>
    <row r="30" spans="1:5" ht="37.5" x14ac:dyDescent="0.3">
      <c r="A30" s="21" t="s">
        <v>48</v>
      </c>
      <c r="B30" s="21" t="s">
        <v>131</v>
      </c>
      <c r="C30" s="20" t="e">
        <f>VLOOKUP($E$22,Таблица5[#All],8,FALSE)</f>
        <v>#DIV/0!</v>
      </c>
      <c r="D30" s="20" t="e">
        <f>VLOOKUP($E$22+1,Таблица5[#All],8,FALSE)</f>
        <v>#DIV/0!</v>
      </c>
      <c r="E30" s="23" t="e">
        <f t="shared" si="0"/>
        <v>#DIV/0!</v>
      </c>
    </row>
    <row r="31" spans="1:5" ht="18.75" x14ac:dyDescent="0.3">
      <c r="A31" s="21" t="s">
        <v>80</v>
      </c>
      <c r="B31" s="21" t="s">
        <v>131</v>
      </c>
      <c r="C31" s="20" t="e">
        <f>VLOOKUP($E$22,Таблица5[#All],2,FALSE)*1000</f>
        <v>#DIV/0!</v>
      </c>
      <c r="D31" s="20" t="e">
        <f>VLOOKUP($E$22+1,Таблица5[#All],2,FALSE)*1000</f>
        <v>#DIV/0!</v>
      </c>
      <c r="E31" s="23"/>
    </row>
    <row r="32" spans="1:5" ht="18.75" x14ac:dyDescent="0.3">
      <c r="A32" s="22" t="s">
        <v>51</v>
      </c>
      <c r="B32" s="22"/>
      <c r="C32" s="20"/>
      <c r="D32" s="20"/>
      <c r="E32" s="23" t="e">
        <f>SUM(E26:E30)</f>
        <v>#DIV/0!</v>
      </c>
    </row>
    <row r="33" spans="1:7" ht="18.75" x14ac:dyDescent="0.3">
      <c r="A33" s="16"/>
      <c r="B33" s="16"/>
      <c r="C33" s="16"/>
      <c r="D33" s="16"/>
      <c r="E33" s="16"/>
    </row>
    <row r="34" spans="1:7" ht="18.75" x14ac:dyDescent="0.3">
      <c r="A34" s="16" t="s">
        <v>52</v>
      </c>
      <c r="B34" s="16"/>
      <c r="C34" s="16"/>
      <c r="D34" s="16"/>
      <c r="E34" s="16">
        <v>307.7</v>
      </c>
    </row>
    <row r="35" spans="1:7" ht="18.75" x14ac:dyDescent="0.3">
      <c r="A35" s="16" t="str">
        <f>"Произведение индексов для перевода в цены на "&amp;E17&amp;" "&amp;C17</f>
        <v>Произведение индексов для перевода в цены на апрель 2024</v>
      </c>
      <c r="B35" s="16"/>
      <c r="C35" s="16"/>
      <c r="D35" s="16"/>
      <c r="E35" s="16">
        <f>VLOOKUP(C17&amp;E17,прочие[#All],4,FALSE)</f>
        <v>0</v>
      </c>
    </row>
    <row r="36" spans="1:7" ht="18.75" x14ac:dyDescent="0.3">
      <c r="A36" s="16" t="str">
        <f>"Стоимость человеко-дня в ценах на "&amp;E17&amp;" "&amp;C17</f>
        <v>Стоимость человеко-дня в ценах на апрель 2024</v>
      </c>
      <c r="B36" s="16"/>
      <c r="C36" s="16"/>
      <c r="D36" s="16"/>
      <c r="E36" s="16">
        <f>ROUND(E34*E35,2)</f>
        <v>0</v>
      </c>
    </row>
    <row r="37" spans="1:7" ht="18.75" x14ac:dyDescent="0.3">
      <c r="A37" s="16"/>
      <c r="B37" s="16"/>
      <c r="C37" s="16"/>
      <c r="D37" s="16"/>
      <c r="E37" s="16"/>
    </row>
    <row r="38" spans="1:7" ht="18.75" x14ac:dyDescent="0.3">
      <c r="A38" s="16" t="s">
        <v>53</v>
      </c>
      <c r="B38" s="16"/>
      <c r="C38" s="16"/>
      <c r="D38" s="16"/>
      <c r="E38" s="16" t="e">
        <f>ROUND(E32*E36,2)</f>
        <v>#DIV/0!</v>
      </c>
      <c r="G38" s="24"/>
    </row>
    <row r="39" spans="1:7" ht="21.75" customHeight="1" x14ac:dyDescent="0.3">
      <c r="A39" s="127" t="e">
        <f ca="1">"Сумма прописью: "&amp;[1]!propis(E38)</f>
        <v>#NAME?</v>
      </c>
      <c r="B39" s="127"/>
      <c r="C39" s="127"/>
      <c r="D39" s="127"/>
      <c r="E39" s="127"/>
    </row>
    <row r="40" spans="1:7" ht="24.75" customHeight="1" x14ac:dyDescent="0.3">
      <c r="A40" s="127" t="s">
        <v>83</v>
      </c>
      <c r="B40" s="127"/>
      <c r="C40" s="127"/>
      <c r="D40" s="127"/>
      <c r="E40" s="127"/>
    </row>
    <row r="42" spans="1:7" ht="18.75" x14ac:dyDescent="0.3">
      <c r="A42" s="16" t="s">
        <v>81</v>
      </c>
      <c r="B42" s="16"/>
    </row>
    <row r="43" spans="1:7" ht="18.75" x14ac:dyDescent="0.3">
      <c r="A43" s="16" t="s">
        <v>82</v>
      </c>
      <c r="B43" s="16"/>
      <c r="E43" s="15" t="s">
        <v>140</v>
      </c>
    </row>
  </sheetData>
  <mergeCells count="8">
    <mergeCell ref="A39:E39"/>
    <mergeCell ref="A40:E40"/>
    <mergeCell ref="A8:E8"/>
    <mergeCell ref="A9:E9"/>
    <mergeCell ref="A10:E10"/>
    <mergeCell ref="C12:E12"/>
    <mergeCell ref="C13:E13"/>
    <mergeCell ref="C14:E14"/>
  </mergeCells>
  <dataValidations count="1">
    <dataValidation type="decimal" allowBlank="1" showInputMessage="1" showErrorMessage="1" errorTitle="Используем другую форму!" error="Расчет не верен, предельная стоимость строительства превышает 1070 руб." promptTitle="Используем эту форму!" prompt="Расчет верен, предельная стоимость до 1070 руб." sqref="E21">
      <formula1>0</formula1>
      <formula2>1070</formula2>
    </dataValidation>
  </dataValidations>
  <pageMargins left="0.7" right="0.7" top="0.75" bottom="0.75" header="0.3" footer="0.3"/>
  <pageSetup paperSize="9" scale="58" orientation="portrait" r:id="rId1"/>
  <customProperties>
    <customPr name="LastActive" r:id="rId2"/>
  </customProperties>
  <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справка!$A$2:$A$4</xm:f>
          </x14:formula1>
          <xm:sqref>C17</xm:sqref>
        </x14:dataValidation>
        <x14:dataValidation type="list" allowBlank="1" showInputMessage="1" showErrorMessage="1">
          <x14:formula1>
            <xm:f>справка!$B$2:$B$13</xm:f>
          </x14:formula1>
          <xm:sqref>E17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"/>
  <sheetViews>
    <sheetView workbookViewId="0">
      <selection activeCell="A24" sqref="A24"/>
    </sheetView>
  </sheetViews>
  <sheetFormatPr defaultRowHeight="12.75" x14ac:dyDescent="0.2"/>
  <cols>
    <col min="1" max="1" width="15" customWidth="1"/>
    <col min="2" max="2" width="23.28515625" customWidth="1"/>
    <col min="3" max="3" width="14.85546875" customWidth="1"/>
    <col min="4" max="4" width="16.5703125" customWidth="1"/>
  </cols>
  <sheetData>
    <row r="1" spans="1:4" x14ac:dyDescent="0.2">
      <c r="A1" t="s">
        <v>25</v>
      </c>
      <c r="B1" t="s">
        <v>26</v>
      </c>
      <c r="C1" t="s">
        <v>27</v>
      </c>
      <c r="D1" t="s">
        <v>28</v>
      </c>
    </row>
    <row r="2" spans="1:4" x14ac:dyDescent="0.2">
      <c r="A2">
        <v>2023</v>
      </c>
      <c r="B2" t="s">
        <v>0</v>
      </c>
      <c r="C2">
        <v>307.7</v>
      </c>
      <c r="D2" s="8">
        <v>45108</v>
      </c>
    </row>
    <row r="3" spans="1:4" x14ac:dyDescent="0.2">
      <c r="A3">
        <v>2024</v>
      </c>
      <c r="B3" t="s">
        <v>1</v>
      </c>
    </row>
    <row r="4" spans="1:4" x14ac:dyDescent="0.2">
      <c r="A4">
        <v>2025</v>
      </c>
      <c r="B4" t="s">
        <v>2</v>
      </c>
    </row>
    <row r="5" spans="1:4" x14ac:dyDescent="0.2">
      <c r="B5" t="s">
        <v>3</v>
      </c>
    </row>
    <row r="6" spans="1:4" x14ac:dyDescent="0.2">
      <c r="B6" t="s">
        <v>4</v>
      </c>
    </row>
    <row r="7" spans="1:4" x14ac:dyDescent="0.2">
      <c r="B7" t="s">
        <v>5</v>
      </c>
    </row>
    <row r="8" spans="1:4" x14ac:dyDescent="0.2">
      <c r="B8" t="s">
        <v>6</v>
      </c>
    </row>
    <row r="9" spans="1:4" x14ac:dyDescent="0.2">
      <c r="B9" t="s">
        <v>7</v>
      </c>
    </row>
    <row r="10" spans="1:4" x14ac:dyDescent="0.2">
      <c r="B10" t="s">
        <v>8</v>
      </c>
    </row>
    <row r="11" spans="1:4" x14ac:dyDescent="0.2">
      <c r="B11" t="s">
        <v>9</v>
      </c>
    </row>
    <row r="12" spans="1:4" x14ac:dyDescent="0.2">
      <c r="B12" t="s">
        <v>10</v>
      </c>
    </row>
    <row r="13" spans="1:4" x14ac:dyDescent="0.2">
      <c r="B13" t="s">
        <v>11</v>
      </c>
    </row>
    <row r="19" spans="1:3" x14ac:dyDescent="0.2">
      <c r="A19" t="s">
        <v>37</v>
      </c>
      <c r="B19" t="s">
        <v>38</v>
      </c>
      <c r="C19" t="s">
        <v>39</v>
      </c>
    </row>
    <row r="20" spans="1:3" ht="76.5" x14ac:dyDescent="0.2">
      <c r="A20" s="1" t="s">
        <v>29</v>
      </c>
      <c r="B20" s="1" t="s">
        <v>40</v>
      </c>
      <c r="C20" s="1" t="s">
        <v>41</v>
      </c>
    </row>
    <row r="21" spans="1:3" ht="76.5" x14ac:dyDescent="0.2">
      <c r="A21" s="1" t="s">
        <v>29</v>
      </c>
      <c r="B21" s="1" t="s">
        <v>42</v>
      </c>
      <c r="C21" s="1" t="s">
        <v>43</v>
      </c>
    </row>
  </sheetData>
  <pageMargins left="0.7" right="0.7" top="0.75" bottom="0.75" header="0.3" footer="0.3"/>
  <customProperties>
    <customPr name="LastActive" r:id="rId1"/>
  </customProperties>
  <tableParts count="4">
    <tablePart r:id="rId2"/>
    <tablePart r:id="rId3"/>
    <tablePart r:id="rId4"/>
    <tablePart r:id="rId5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"/>
  <sheetViews>
    <sheetView workbookViewId="0">
      <selection activeCell="G23" sqref="G23"/>
    </sheetView>
  </sheetViews>
  <sheetFormatPr defaultRowHeight="12.75" x14ac:dyDescent="0.2"/>
  <cols>
    <col min="2" max="2" width="22" customWidth="1"/>
    <col min="3" max="3" width="22" hidden="1" customWidth="1"/>
    <col min="4" max="4" width="31.28515625" customWidth="1"/>
    <col min="5" max="6" width="18.42578125" customWidth="1"/>
    <col min="7" max="7" width="37.140625" customWidth="1"/>
    <col min="8" max="9" width="29.28515625" customWidth="1"/>
    <col min="10" max="11" width="12.85546875" customWidth="1"/>
    <col min="12" max="14" width="9.140625" customWidth="1"/>
  </cols>
  <sheetData>
    <row r="1" spans="1:14" ht="25.5" x14ac:dyDescent="0.2">
      <c r="B1" s="1" t="s">
        <v>166</v>
      </c>
      <c r="C1" s="1"/>
      <c r="D1" s="139" t="s">
        <v>12</v>
      </c>
      <c r="E1" s="139"/>
      <c r="F1" s="139"/>
      <c r="G1" s="139"/>
      <c r="H1" s="139"/>
      <c r="I1" s="58"/>
    </row>
    <row r="2" spans="1:14" ht="38.25" x14ac:dyDescent="0.2">
      <c r="A2" s="1" t="s">
        <v>75</v>
      </c>
      <c r="B2" s="1" t="s">
        <v>74</v>
      </c>
      <c r="C2" s="1" t="s">
        <v>54</v>
      </c>
      <c r="D2" s="1" t="s">
        <v>15</v>
      </c>
      <c r="E2" s="1" t="s">
        <v>13</v>
      </c>
      <c r="F2" s="1" t="s">
        <v>14</v>
      </c>
      <c r="G2" s="1" t="s">
        <v>16</v>
      </c>
      <c r="H2" s="1" t="s">
        <v>17</v>
      </c>
      <c r="I2" s="1" t="s">
        <v>130</v>
      </c>
      <c r="J2" t="s">
        <v>55</v>
      </c>
      <c r="K2" t="s">
        <v>56</v>
      </c>
      <c r="M2" s="1" t="s">
        <v>19</v>
      </c>
      <c r="N2" t="s">
        <v>56</v>
      </c>
    </row>
    <row r="3" spans="1:14" x14ac:dyDescent="0.2">
      <c r="A3" s="1">
        <v>0</v>
      </c>
      <c r="B3" s="1">
        <v>1.35</v>
      </c>
      <c r="C3" s="26">
        <v>0</v>
      </c>
      <c r="D3" s="25">
        <v>0.01</v>
      </c>
      <c r="E3" s="1">
        <v>0.01</v>
      </c>
      <c r="F3" s="1">
        <v>0.05</v>
      </c>
      <c r="G3" s="1">
        <v>0.03</v>
      </c>
      <c r="H3" s="1">
        <v>0</v>
      </c>
      <c r="I3" s="1" t="s">
        <v>131</v>
      </c>
      <c r="M3" s="1"/>
    </row>
    <row r="4" spans="1:14" x14ac:dyDescent="0.2">
      <c r="A4">
        <v>1</v>
      </c>
      <c r="B4">
        <v>44.36</v>
      </c>
      <c r="C4">
        <f>Таблица5[[#This Row],[номер пп]]</f>
        <v>1</v>
      </c>
      <c r="D4">
        <v>0.2</v>
      </c>
      <c r="E4">
        <v>0.4</v>
      </c>
      <c r="F4">
        <v>1.6</v>
      </c>
      <c r="G4">
        <v>1</v>
      </c>
      <c r="H4">
        <v>0.1</v>
      </c>
      <c r="I4" t="s">
        <v>132</v>
      </c>
      <c r="J4">
        <f t="shared" ref="J4:J8" si="0">SUM(D4:H4)*$K$25</f>
        <v>1015.4100000000001</v>
      </c>
      <c r="K4" s="5">
        <f t="shared" ref="K4:K8" si="1">J4/(B4*1000)</f>
        <v>2.2890216411181247E-2</v>
      </c>
      <c r="M4">
        <f>F4*$K$25</f>
        <v>492.32</v>
      </c>
      <c r="N4" s="4">
        <f>M4/(B4*1000)</f>
        <v>1.1098286744815149E-2</v>
      </c>
    </row>
    <row r="5" spans="1:14" x14ac:dyDescent="0.2">
      <c r="A5">
        <v>2</v>
      </c>
      <c r="B5">
        <v>66.459999999999994</v>
      </c>
      <c r="C5">
        <f>Таблица5[[#This Row],[номер пп]]</f>
        <v>2</v>
      </c>
      <c r="D5">
        <v>0.3</v>
      </c>
      <c r="E5">
        <v>0.6</v>
      </c>
      <c r="F5">
        <v>2.5</v>
      </c>
      <c r="G5">
        <v>1.5</v>
      </c>
      <c r="H5">
        <v>0.2</v>
      </c>
      <c r="I5" s="1" t="s">
        <v>133</v>
      </c>
      <c r="J5">
        <f t="shared" si="0"/>
        <v>1569.2700000000002</v>
      </c>
      <c r="K5" s="5">
        <f t="shared" si="1"/>
        <v>2.3612247968702982E-2</v>
      </c>
      <c r="M5">
        <f t="shared" ref="M5:M13" si="2">F5*$K$25</f>
        <v>769.25</v>
      </c>
      <c r="N5" s="4">
        <f t="shared" ref="N5:N13" si="3">M5/(B5*1000)</f>
        <v>1.1574631357207342E-2</v>
      </c>
    </row>
    <row r="6" spans="1:14" x14ac:dyDescent="0.2">
      <c r="A6">
        <v>3</v>
      </c>
      <c r="B6">
        <v>88.55</v>
      </c>
      <c r="C6">
        <f>Таблица5[[#This Row],[номер пп]]</f>
        <v>3</v>
      </c>
      <c r="D6">
        <v>0.4</v>
      </c>
      <c r="E6">
        <v>0.8</v>
      </c>
      <c r="F6">
        <v>3.2</v>
      </c>
      <c r="G6">
        <v>1.9</v>
      </c>
      <c r="H6">
        <v>0.3</v>
      </c>
      <c r="I6" t="s">
        <v>134</v>
      </c>
      <c r="J6">
        <f t="shared" si="0"/>
        <v>2030.8200000000002</v>
      </c>
      <c r="K6" s="5">
        <f t="shared" si="1"/>
        <v>2.2934161490683232E-2</v>
      </c>
      <c r="M6">
        <f t="shared" si="2"/>
        <v>984.64</v>
      </c>
      <c r="N6" s="4">
        <f t="shared" si="3"/>
        <v>1.1119593450028232E-2</v>
      </c>
    </row>
    <row r="7" spans="1:14" x14ac:dyDescent="0.2">
      <c r="A7">
        <v>4</v>
      </c>
      <c r="B7">
        <v>110.86</v>
      </c>
      <c r="C7">
        <f>Таблица5[[#This Row],[номер пп]]</f>
        <v>4</v>
      </c>
      <c r="D7">
        <v>0.5</v>
      </c>
      <c r="E7">
        <v>0.9</v>
      </c>
      <c r="F7">
        <v>3.9</v>
      </c>
      <c r="G7">
        <v>2.2999999999999998</v>
      </c>
      <c r="H7">
        <v>0.4</v>
      </c>
      <c r="I7" s="1" t="s">
        <v>135</v>
      </c>
      <c r="J7">
        <f t="shared" si="0"/>
        <v>2461.6</v>
      </c>
      <c r="K7" s="5">
        <f t="shared" si="1"/>
        <v>2.2204582356124842E-2</v>
      </c>
      <c r="M7">
        <f t="shared" si="2"/>
        <v>1200.03</v>
      </c>
      <c r="N7" s="4">
        <f t="shared" si="3"/>
        <v>1.0824733898610861E-2</v>
      </c>
    </row>
    <row r="8" spans="1:14" x14ac:dyDescent="0.2">
      <c r="A8">
        <v>5</v>
      </c>
      <c r="B8">
        <v>221.54</v>
      </c>
      <c r="C8">
        <f>Таблица5[[#This Row],[номер пп]]</f>
        <v>5</v>
      </c>
      <c r="D8">
        <v>0.9</v>
      </c>
      <c r="E8">
        <v>1.8</v>
      </c>
      <c r="F8">
        <v>7.4</v>
      </c>
      <c r="G8">
        <v>4.4000000000000004</v>
      </c>
      <c r="H8">
        <v>0.5</v>
      </c>
      <c r="I8" t="s">
        <v>143</v>
      </c>
      <c r="J8">
        <f t="shared" si="0"/>
        <v>4615.5</v>
      </c>
      <c r="K8" s="5">
        <f t="shared" si="1"/>
        <v>2.0833709488128554E-2</v>
      </c>
      <c r="M8">
        <f t="shared" si="2"/>
        <v>2276.98</v>
      </c>
      <c r="N8" s="4">
        <f t="shared" si="3"/>
        <v>1.0277963347476753E-2</v>
      </c>
    </row>
    <row r="9" spans="1:14" x14ac:dyDescent="0.2">
      <c r="A9">
        <v>6</v>
      </c>
      <c r="B9">
        <v>443.22</v>
      </c>
      <c r="C9">
        <f>Таблица5[[#This Row],[номер пп]]</f>
        <v>6</v>
      </c>
      <c r="D9">
        <v>1.7</v>
      </c>
      <c r="E9">
        <v>3.3</v>
      </c>
      <c r="F9">
        <v>13.9</v>
      </c>
      <c r="G9">
        <v>8.3000000000000007</v>
      </c>
      <c r="H9">
        <v>0.6</v>
      </c>
      <c r="I9" s="1" t="s">
        <v>144</v>
      </c>
      <c r="J9">
        <f>SUM(D9:H9)*$K$25</f>
        <v>8554.06</v>
      </c>
      <c r="K9" s="5">
        <f>J9/(B9*1000)</f>
        <v>1.929980596543477E-2</v>
      </c>
      <c r="M9">
        <f t="shared" si="2"/>
        <v>4277.03</v>
      </c>
      <c r="N9" s="4">
        <f t="shared" si="3"/>
        <v>9.649902982717385E-3</v>
      </c>
    </row>
    <row r="10" spans="1:14" x14ac:dyDescent="0.2">
      <c r="A10">
        <v>7</v>
      </c>
      <c r="B10">
        <v>581.38</v>
      </c>
      <c r="C10">
        <f>Таблица5[[#This Row],[номер пп]]</f>
        <v>7</v>
      </c>
      <c r="D10">
        <v>2.1</v>
      </c>
      <c r="E10">
        <v>4.3</v>
      </c>
      <c r="F10">
        <v>17.899999999999999</v>
      </c>
      <c r="G10">
        <v>10.7</v>
      </c>
      <c r="H10">
        <v>0.7</v>
      </c>
      <c r="I10" t="s">
        <v>145</v>
      </c>
      <c r="J10">
        <f>SUM(D10:H10)*$K$25</f>
        <v>10984.890000000001</v>
      </c>
      <c r="K10" s="5">
        <f>J10/(B10*1000)</f>
        <v>1.8894509615053838E-2</v>
      </c>
      <c r="M10">
        <f t="shared" si="2"/>
        <v>5507.829999999999</v>
      </c>
      <c r="N10" s="4">
        <f t="shared" si="3"/>
        <v>9.4737177061474404E-3</v>
      </c>
    </row>
    <row r="11" spans="1:14" x14ac:dyDescent="0.2">
      <c r="A11">
        <v>8</v>
      </c>
      <c r="B11">
        <v>886.33</v>
      </c>
      <c r="C11">
        <f>Таблица5[[#This Row],[номер пп]]</f>
        <v>8</v>
      </c>
      <c r="D11">
        <v>3.1</v>
      </c>
      <c r="E11">
        <v>6.3</v>
      </c>
      <c r="F11">
        <v>27</v>
      </c>
      <c r="G11">
        <v>15.7</v>
      </c>
      <c r="H11">
        <v>0.9</v>
      </c>
      <c r="I11" s="1" t="s">
        <v>146</v>
      </c>
      <c r="J11">
        <f>SUM(D11:H11)*$K$25</f>
        <v>16308.099999999997</v>
      </c>
      <c r="K11" s="5">
        <f>J11/(B11*1000)</f>
        <v>1.8399580291764913E-2</v>
      </c>
      <c r="M11">
        <f t="shared" si="2"/>
        <v>8307.9</v>
      </c>
      <c r="N11" s="4">
        <f t="shared" si="3"/>
        <v>9.3733710920311849E-3</v>
      </c>
    </row>
    <row r="12" spans="1:14" x14ac:dyDescent="0.2">
      <c r="A12">
        <v>9</v>
      </c>
      <c r="B12">
        <v>1107.98</v>
      </c>
      <c r="C12">
        <f>Таблица5[[#This Row],[номер пп]]</f>
        <v>9</v>
      </c>
      <c r="D12">
        <v>3.9</v>
      </c>
      <c r="E12">
        <v>7.7</v>
      </c>
      <c r="F12">
        <v>32</v>
      </c>
      <c r="G12">
        <v>19.3</v>
      </c>
      <c r="H12">
        <v>1.1000000000000001</v>
      </c>
      <c r="I12" t="s">
        <v>147</v>
      </c>
      <c r="J12">
        <f>SUM(D12:H12)*$K$25</f>
        <v>19692.8</v>
      </c>
      <c r="K12" s="5">
        <f>J12/(B12*1000)</f>
        <v>1.7773606021769344E-2</v>
      </c>
      <c r="M12">
        <f t="shared" si="2"/>
        <v>9846.4</v>
      </c>
      <c r="N12" s="4">
        <f t="shared" si="3"/>
        <v>8.886803010884672E-3</v>
      </c>
    </row>
    <row r="13" spans="1:14" x14ac:dyDescent="0.2">
      <c r="A13">
        <v>10</v>
      </c>
      <c r="B13">
        <v>1329.52</v>
      </c>
      <c r="C13">
        <f>Таблица5[[#This Row],[номер пп]]</f>
        <v>10</v>
      </c>
      <c r="D13">
        <v>4.5999999999999996</v>
      </c>
      <c r="E13">
        <v>9.1</v>
      </c>
      <c r="F13">
        <v>39</v>
      </c>
      <c r="G13">
        <v>23</v>
      </c>
      <c r="H13">
        <v>1.3</v>
      </c>
      <c r="I13" s="1" t="s">
        <v>148</v>
      </c>
      <c r="J13">
        <f>SUM(D13:H13)*$K$25</f>
        <v>23692.899999999998</v>
      </c>
      <c r="K13" s="5">
        <f>J13/(B13*1000)</f>
        <v>1.7820642036223598E-2</v>
      </c>
      <c r="M13">
        <f t="shared" si="2"/>
        <v>12000.3</v>
      </c>
      <c r="N13" s="4">
        <f t="shared" si="3"/>
        <v>9.0260394728924713E-3</v>
      </c>
    </row>
    <row r="14" spans="1:14" x14ac:dyDescent="0.2">
      <c r="A14">
        <v>11</v>
      </c>
      <c r="B14">
        <v>1551.09</v>
      </c>
      <c r="C14" s="26">
        <f>Таблица5[[#This Row],[номер пп]]</f>
        <v>11</v>
      </c>
      <c r="D14">
        <v>5.2</v>
      </c>
      <c r="E14">
        <v>10.5</v>
      </c>
      <c r="F14">
        <v>44</v>
      </c>
      <c r="G14">
        <v>26</v>
      </c>
      <c r="H14">
        <v>1.5</v>
      </c>
      <c r="I14" t="s">
        <v>149</v>
      </c>
      <c r="K14" s="4"/>
    </row>
    <row r="15" spans="1:14" x14ac:dyDescent="0.2">
      <c r="A15">
        <v>12</v>
      </c>
      <c r="B15">
        <v>1772.62</v>
      </c>
      <c r="C15" s="26">
        <f>Таблица5[[#This Row],[номер пп]]</f>
        <v>12</v>
      </c>
      <c r="D15">
        <v>5.9</v>
      </c>
      <c r="E15">
        <v>11.8</v>
      </c>
      <c r="F15">
        <v>50</v>
      </c>
      <c r="G15">
        <v>30</v>
      </c>
      <c r="H15">
        <v>1.7</v>
      </c>
      <c r="I15" s="1" t="s">
        <v>150</v>
      </c>
      <c r="K15" s="4"/>
    </row>
    <row r="16" spans="1:14" x14ac:dyDescent="0.2">
      <c r="A16">
        <v>13</v>
      </c>
      <c r="B16">
        <v>1994.31</v>
      </c>
      <c r="C16" s="26">
        <f>Таблица5[[#This Row],[номер пп]]</f>
        <v>13</v>
      </c>
      <c r="D16">
        <v>6.6</v>
      </c>
      <c r="E16">
        <v>13.2</v>
      </c>
      <c r="F16">
        <v>55</v>
      </c>
      <c r="G16">
        <v>33</v>
      </c>
      <c r="H16">
        <v>1.8</v>
      </c>
      <c r="I16" t="s">
        <v>151</v>
      </c>
      <c r="K16" s="4"/>
    </row>
    <row r="17" spans="1:11" x14ac:dyDescent="0.2">
      <c r="A17">
        <v>14</v>
      </c>
      <c r="B17">
        <v>2215.85</v>
      </c>
      <c r="C17" s="26">
        <f>Таблица5[[#This Row],[номер пп]]</f>
        <v>14</v>
      </c>
      <c r="D17">
        <v>7.2</v>
      </c>
      <c r="E17">
        <v>14.5</v>
      </c>
      <c r="F17">
        <v>61</v>
      </c>
      <c r="G17">
        <v>36</v>
      </c>
      <c r="H17">
        <v>2</v>
      </c>
      <c r="I17" s="1" t="s">
        <v>152</v>
      </c>
      <c r="K17" s="4"/>
    </row>
    <row r="18" spans="1:11" x14ac:dyDescent="0.2">
      <c r="A18">
        <v>15</v>
      </c>
      <c r="B18">
        <v>3323.83</v>
      </c>
      <c r="C18" s="26">
        <f>Таблица5[[#This Row],[номер пп]]</f>
        <v>15</v>
      </c>
      <c r="D18">
        <v>10.4</v>
      </c>
      <c r="E18">
        <v>21</v>
      </c>
      <c r="F18">
        <v>88</v>
      </c>
      <c r="G18">
        <v>52</v>
      </c>
      <c r="H18">
        <v>2.9</v>
      </c>
      <c r="I18" t="s">
        <v>153</v>
      </c>
      <c r="K18" s="4"/>
    </row>
    <row r="19" spans="1:11" x14ac:dyDescent="0.2">
      <c r="A19">
        <v>16</v>
      </c>
      <c r="B19">
        <v>4431.72</v>
      </c>
      <c r="C19" s="26">
        <f>Таблица5[[#This Row],[номер пп]]</f>
        <v>16</v>
      </c>
      <c r="D19">
        <v>13.4</v>
      </c>
      <c r="E19">
        <v>27</v>
      </c>
      <c r="F19">
        <v>113</v>
      </c>
      <c r="G19">
        <v>67</v>
      </c>
      <c r="H19">
        <v>3.8</v>
      </c>
      <c r="I19" s="1" t="s">
        <v>154</v>
      </c>
      <c r="K19" s="4"/>
    </row>
    <row r="20" spans="1:11" x14ac:dyDescent="0.2">
      <c r="A20">
        <v>17</v>
      </c>
      <c r="B20">
        <v>5539.71</v>
      </c>
      <c r="C20" s="26">
        <f>Таблица5[[#This Row],[номер пп]]</f>
        <v>17</v>
      </c>
      <c r="D20">
        <v>16.3</v>
      </c>
      <c r="E20">
        <v>33</v>
      </c>
      <c r="F20">
        <v>137</v>
      </c>
      <c r="G20">
        <v>82</v>
      </c>
      <c r="H20">
        <v>4.5999999999999996</v>
      </c>
      <c r="I20" t="s">
        <v>155</v>
      </c>
      <c r="K20" s="4"/>
    </row>
    <row r="21" spans="1:11" x14ac:dyDescent="0.2">
      <c r="A21">
        <v>18</v>
      </c>
      <c r="B21">
        <v>6647.73</v>
      </c>
      <c r="C21" s="26">
        <f>Таблица5[[#This Row],[номер пп]]</f>
        <v>18</v>
      </c>
      <c r="D21">
        <v>19.2</v>
      </c>
      <c r="E21">
        <v>39</v>
      </c>
      <c r="F21">
        <v>162</v>
      </c>
      <c r="G21">
        <v>96</v>
      </c>
      <c r="H21">
        <v>5.4</v>
      </c>
      <c r="I21" s="1" t="s">
        <v>156</v>
      </c>
      <c r="K21" s="4"/>
    </row>
    <row r="22" spans="1:11" x14ac:dyDescent="0.2">
      <c r="A22">
        <v>19</v>
      </c>
      <c r="B22">
        <v>7755.56</v>
      </c>
      <c r="C22" s="26">
        <f>Таблица5[[#This Row],[номер пп]]</f>
        <v>19</v>
      </c>
      <c r="D22">
        <v>22</v>
      </c>
      <c r="E22">
        <v>44</v>
      </c>
      <c r="F22">
        <v>186</v>
      </c>
      <c r="G22">
        <v>110</v>
      </c>
      <c r="H22">
        <v>6.2</v>
      </c>
      <c r="I22" t="s">
        <v>157</v>
      </c>
      <c r="K22" s="4"/>
    </row>
    <row r="23" spans="1:11" x14ac:dyDescent="0.2">
      <c r="A23">
        <v>20</v>
      </c>
      <c r="B23">
        <v>8863.39</v>
      </c>
      <c r="C23" s="26">
        <f>Таблица5[[#This Row],[номер пп]]</f>
        <v>20</v>
      </c>
      <c r="D23">
        <v>25</v>
      </c>
      <c r="E23">
        <v>50</v>
      </c>
      <c r="F23">
        <v>209</v>
      </c>
      <c r="G23">
        <v>124</v>
      </c>
      <c r="H23">
        <v>7</v>
      </c>
      <c r="I23" s="1" t="s">
        <v>158</v>
      </c>
      <c r="K23" s="4"/>
    </row>
    <row r="24" spans="1:11" x14ac:dyDescent="0.2">
      <c r="K24" t="s">
        <v>18</v>
      </c>
    </row>
    <row r="25" spans="1:11" ht="13.5" hidden="1" thickBot="1" x14ac:dyDescent="0.25">
      <c r="B25" s="2">
        <v>34</v>
      </c>
      <c r="C25" s="14"/>
      <c r="D25" s="6">
        <f>D4-(((D5-D4)/($B$5-$B$4))*($B$4-$B$25))*(IF($B$25&lt;$B$4,0.8,1))</f>
        <v>0.16249773755656111</v>
      </c>
      <c r="E25" s="6">
        <f t="shared" ref="E25:H25" si="4">E4-(((E5-E4)/($B$5-$B$4))*($B$4-$B$25))*IF($B$25&lt;$B$4,0.8,1)</f>
        <v>0.32499547511312221</v>
      </c>
      <c r="F25" s="6">
        <f t="shared" si="4"/>
        <v>1.2624796380090497</v>
      </c>
      <c r="G25" s="6">
        <f t="shared" si="4"/>
        <v>0.81248868778280536</v>
      </c>
      <c r="H25" s="6">
        <f t="shared" si="4"/>
        <v>6.249773755656108E-2</v>
      </c>
      <c r="I25" s="59"/>
      <c r="K25">
        <v>307.7</v>
      </c>
    </row>
    <row r="26" spans="1:11" hidden="1" x14ac:dyDescent="0.2">
      <c r="B26" s="3">
        <f>SUM(D26:H26)</f>
        <v>807.69996923076917</v>
      </c>
      <c r="C26" s="3"/>
      <c r="D26" s="3">
        <f>D25*$K$25</f>
        <v>50.000553846153849</v>
      </c>
      <c r="E26" s="3">
        <f>E25*$K$25</f>
        <v>100.0011076923077</v>
      </c>
      <c r="F26" s="3">
        <f>F25*$K$25</f>
        <v>388.46498461538459</v>
      </c>
      <c r="G26" s="3">
        <f>G25*$K$25</f>
        <v>250.00276923076919</v>
      </c>
      <c r="H26" s="3">
        <f>H25*$K$25</f>
        <v>19.230553846153843</v>
      </c>
      <c r="I26" s="3"/>
    </row>
    <row r="27" spans="1:11" hidden="1" x14ac:dyDescent="0.2">
      <c r="B27" s="4">
        <f>B26/(B25*1000)</f>
        <v>2.3755881447963798E-2</v>
      </c>
      <c r="C27" s="4"/>
    </row>
  </sheetData>
  <mergeCells count="1">
    <mergeCell ref="D1:H1"/>
  </mergeCells>
  <pageMargins left="0.7" right="0.7" top="0.75" bottom="0.75" header="0.3" footer="0.3"/>
  <customProperties>
    <customPr name="LastActive" r:id="rId1"/>
  </customProperties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54"/>
  <sheetViews>
    <sheetView workbookViewId="0">
      <selection activeCell="D48" sqref="D48"/>
    </sheetView>
  </sheetViews>
  <sheetFormatPr defaultRowHeight="12.75" x14ac:dyDescent="0.2"/>
  <cols>
    <col min="1" max="1" width="13.28515625" customWidth="1"/>
    <col min="3" max="3" width="12.28515625" customWidth="1"/>
    <col min="4" max="4" width="14.140625" customWidth="1"/>
    <col min="5" max="5" width="11" customWidth="1"/>
    <col min="6" max="6" width="9.140625" customWidth="1"/>
    <col min="7" max="7" width="10.5703125" customWidth="1"/>
    <col min="11" max="11" width="9.140625" customWidth="1"/>
  </cols>
  <sheetData>
    <row r="1" spans="1:9" x14ac:dyDescent="0.2">
      <c r="A1" s="12" t="s">
        <v>26</v>
      </c>
      <c r="B1" s="12" t="s">
        <v>54</v>
      </c>
      <c r="C1" s="12" t="s">
        <v>57</v>
      </c>
      <c r="D1" s="12" t="s">
        <v>61</v>
      </c>
      <c r="E1" s="12" t="s">
        <v>58</v>
      </c>
      <c r="F1" s="12" t="s">
        <v>62</v>
      </c>
      <c r="G1" s="12" t="s">
        <v>59</v>
      </c>
      <c r="I1" s="13"/>
    </row>
    <row r="2" spans="1:9" x14ac:dyDescent="0.2">
      <c r="A2" t="s">
        <v>0</v>
      </c>
      <c r="B2" s="9">
        <v>1.0085</v>
      </c>
      <c r="C2" s="9"/>
      <c r="D2" s="106">
        <v>1.0076000000000001</v>
      </c>
      <c r="E2" s="106"/>
      <c r="F2" s="46">
        <v>1.0105</v>
      </c>
    </row>
    <row r="3" spans="1:9" x14ac:dyDescent="0.2">
      <c r="A3" t="s">
        <v>1</v>
      </c>
      <c r="B3" s="9">
        <v>1.0085</v>
      </c>
      <c r="C3" s="9"/>
      <c r="D3" s="106">
        <v>1.0076000000000001</v>
      </c>
      <c r="E3" s="11">
        <f>ROUND(D3,4)</f>
        <v>1.0076000000000001</v>
      </c>
      <c r="F3" s="46">
        <v>1.0105</v>
      </c>
      <c r="G3" s="11">
        <f>ROUND(F3,4)</f>
        <v>1.0105</v>
      </c>
    </row>
    <row r="4" spans="1:9" x14ac:dyDescent="0.2">
      <c r="A4" t="s">
        <v>2</v>
      </c>
      <c r="B4" s="9">
        <v>1.0085</v>
      </c>
      <c r="C4" s="9"/>
      <c r="D4" s="106">
        <v>1.0076000000000001</v>
      </c>
      <c r="E4" s="11">
        <f>ROUND(E3*D4,4)</f>
        <v>1.0153000000000001</v>
      </c>
      <c r="F4" s="46">
        <v>1.0105</v>
      </c>
      <c r="G4" s="11">
        <f>ROUND(G3*F4,4)</f>
        <v>1.0210999999999999</v>
      </c>
    </row>
    <row r="5" spans="1:9" x14ac:dyDescent="0.2">
      <c r="A5" t="s">
        <v>3</v>
      </c>
      <c r="B5" s="9">
        <v>1.0085</v>
      </c>
      <c r="C5" s="9"/>
      <c r="D5" s="106">
        <v>1.0076000000000001</v>
      </c>
      <c r="E5" s="11">
        <f t="shared" ref="E5:G13" si="0">ROUND(E4*D5,4)</f>
        <v>1.0229999999999999</v>
      </c>
      <c r="F5" s="46">
        <v>1.0144</v>
      </c>
      <c r="G5" s="11">
        <f t="shared" si="0"/>
        <v>1.0358000000000001</v>
      </c>
    </row>
    <row r="6" spans="1:9" x14ac:dyDescent="0.2">
      <c r="A6" t="s">
        <v>4</v>
      </c>
      <c r="B6" s="9">
        <v>1.0085</v>
      </c>
      <c r="C6" s="9"/>
      <c r="D6" s="106">
        <v>1.0126999999999999</v>
      </c>
      <c r="E6" s="11">
        <f t="shared" si="0"/>
        <v>1.036</v>
      </c>
      <c r="F6" s="46">
        <v>1.0144</v>
      </c>
      <c r="G6" s="11">
        <f t="shared" si="0"/>
        <v>1.0507</v>
      </c>
    </row>
    <row r="7" spans="1:9" x14ac:dyDescent="0.2">
      <c r="A7" t="s">
        <v>5</v>
      </c>
      <c r="B7" s="9">
        <v>1.0085</v>
      </c>
      <c r="C7" s="9"/>
      <c r="D7" s="106">
        <v>1.0126999999999999</v>
      </c>
      <c r="E7" s="11">
        <f t="shared" si="0"/>
        <v>1.0491999999999999</v>
      </c>
      <c r="F7" s="46">
        <v>1.0144</v>
      </c>
      <c r="G7" s="11">
        <f t="shared" si="0"/>
        <v>1.0658000000000001</v>
      </c>
    </row>
    <row r="8" spans="1:9" x14ac:dyDescent="0.2">
      <c r="A8" t="s">
        <v>6</v>
      </c>
      <c r="B8" s="9">
        <v>1.0085</v>
      </c>
      <c r="C8" s="11">
        <f>ROUND(B8,4)</f>
        <v>1.0085</v>
      </c>
      <c r="D8" s="106">
        <v>1.0126999999999999</v>
      </c>
      <c r="E8" s="11">
        <f t="shared" si="0"/>
        <v>1.0625</v>
      </c>
      <c r="F8" s="46">
        <v>1.0144</v>
      </c>
      <c r="G8" s="11">
        <f t="shared" si="0"/>
        <v>1.0810999999999999</v>
      </c>
    </row>
    <row r="9" spans="1:9" x14ac:dyDescent="0.2">
      <c r="A9" t="s">
        <v>7</v>
      </c>
      <c r="B9" s="11">
        <v>1.0085</v>
      </c>
      <c r="C9" s="11">
        <f>ROUND(C8*B9,4)</f>
        <v>1.0170999999999999</v>
      </c>
      <c r="D9" s="106">
        <v>1.0126999999999999</v>
      </c>
      <c r="E9" s="11">
        <f t="shared" si="0"/>
        <v>1.0760000000000001</v>
      </c>
      <c r="F9" s="46">
        <v>1.0144</v>
      </c>
      <c r="G9" s="11">
        <f t="shared" si="0"/>
        <v>1.0967</v>
      </c>
    </row>
    <row r="10" spans="1:9" x14ac:dyDescent="0.2">
      <c r="A10" t="s">
        <v>8</v>
      </c>
      <c r="B10" s="11">
        <v>1.0085</v>
      </c>
      <c r="C10" s="11">
        <f>ROUND(C9*B10,4)</f>
        <v>1.0257000000000001</v>
      </c>
      <c r="D10" s="106">
        <v>1.0126999999999999</v>
      </c>
      <c r="E10" s="11">
        <f t="shared" si="0"/>
        <v>1.0896999999999999</v>
      </c>
      <c r="F10" s="46">
        <v>1.0144</v>
      </c>
      <c r="G10" s="11">
        <f t="shared" si="0"/>
        <v>1.1125</v>
      </c>
    </row>
    <row r="11" spans="1:9" x14ac:dyDescent="0.2">
      <c r="A11" t="s">
        <v>9</v>
      </c>
      <c r="B11" s="11">
        <v>1.0085</v>
      </c>
      <c r="C11" s="11">
        <f>ROUND(C10*B11,4)</f>
        <v>1.0344</v>
      </c>
      <c r="D11" s="106">
        <v>1.0126999999999999</v>
      </c>
      <c r="E11" s="11">
        <f t="shared" si="0"/>
        <v>1.1034999999999999</v>
      </c>
      <c r="F11" s="46">
        <v>1.0144</v>
      </c>
      <c r="G11" s="11">
        <f t="shared" si="0"/>
        <v>1.1285000000000001</v>
      </c>
    </row>
    <row r="12" spans="1:9" x14ac:dyDescent="0.2">
      <c r="A12" t="s">
        <v>10</v>
      </c>
      <c r="B12" s="11">
        <v>1.0085</v>
      </c>
      <c r="C12" s="11">
        <f>ROUND(C11*B12,4)</f>
        <v>1.0431999999999999</v>
      </c>
      <c r="D12" s="106">
        <v>1.0126999999999999</v>
      </c>
      <c r="E12" s="11">
        <f t="shared" si="0"/>
        <v>1.1174999999999999</v>
      </c>
      <c r="F12" s="46">
        <v>1.0144</v>
      </c>
      <c r="G12" s="11">
        <f t="shared" si="0"/>
        <v>1.1448</v>
      </c>
    </row>
    <row r="13" spans="1:9" x14ac:dyDescent="0.2">
      <c r="A13" t="s">
        <v>11</v>
      </c>
      <c r="B13" s="11">
        <v>1.0085</v>
      </c>
      <c r="C13" s="11">
        <f>ROUND(C12*B13,4)</f>
        <v>1.0521</v>
      </c>
      <c r="D13" s="106">
        <v>1.0126999999999999</v>
      </c>
      <c r="E13" s="11">
        <f t="shared" si="0"/>
        <v>1.1316999999999999</v>
      </c>
      <c r="F13" s="46">
        <v>1.0144</v>
      </c>
      <c r="G13" s="11">
        <f t="shared" si="0"/>
        <v>1.1613</v>
      </c>
    </row>
    <row r="15" spans="1:9" x14ac:dyDescent="0.2">
      <c r="A15" t="s">
        <v>85</v>
      </c>
    </row>
    <row r="16" spans="1:9" x14ac:dyDescent="0.2">
      <c r="A16" s="30" t="s">
        <v>84</v>
      </c>
    </row>
    <row r="18" spans="1:11" x14ac:dyDescent="0.2">
      <c r="A18" t="s">
        <v>112</v>
      </c>
      <c r="B18" t="s">
        <v>113</v>
      </c>
      <c r="C18" t="s">
        <v>114</v>
      </c>
      <c r="D18" t="s">
        <v>160</v>
      </c>
    </row>
    <row r="19" spans="1:11" hidden="1" x14ac:dyDescent="0.2">
      <c r="A19" s="38" t="s">
        <v>88</v>
      </c>
      <c r="B19" s="46"/>
    </row>
    <row r="20" spans="1:11" hidden="1" x14ac:dyDescent="0.2">
      <c r="A20" s="40" t="s">
        <v>89</v>
      </c>
      <c r="B20" s="46"/>
    </row>
    <row r="21" spans="1:11" hidden="1" x14ac:dyDescent="0.2">
      <c r="A21" s="38" t="s">
        <v>90</v>
      </c>
      <c r="B21" s="46"/>
    </row>
    <row r="22" spans="1:11" hidden="1" x14ac:dyDescent="0.2">
      <c r="A22" s="40" t="s">
        <v>91</v>
      </c>
      <c r="B22" s="46"/>
      <c r="G22" s="9"/>
      <c r="H22" s="9"/>
      <c r="I22" s="9"/>
      <c r="J22" s="9"/>
    </row>
    <row r="23" spans="1:11" hidden="1" x14ac:dyDescent="0.2">
      <c r="A23" s="38" t="s">
        <v>92</v>
      </c>
      <c r="B23" s="46"/>
      <c r="G23" s="10"/>
      <c r="H23" s="10"/>
      <c r="I23" s="10"/>
      <c r="J23" s="10"/>
    </row>
    <row r="24" spans="1:11" hidden="1" x14ac:dyDescent="0.2">
      <c r="A24" s="40" t="s">
        <v>93</v>
      </c>
      <c r="B24" s="46"/>
      <c r="G24" s="10"/>
      <c r="H24" s="10"/>
      <c r="I24" s="10"/>
      <c r="J24" s="10"/>
    </row>
    <row r="25" spans="1:11" hidden="1" x14ac:dyDescent="0.2">
      <c r="A25" s="38" t="s">
        <v>94</v>
      </c>
      <c r="B25" s="46"/>
      <c r="C25" s="47">
        <f>ROUND(B25,4)</f>
        <v>0</v>
      </c>
      <c r="D25" s="47">
        <f>ROUND(B25,4)</f>
        <v>0</v>
      </c>
      <c r="G25" s="10"/>
      <c r="H25" s="10"/>
      <c r="I25" s="10"/>
      <c r="J25" s="10"/>
    </row>
    <row r="26" spans="1:11" hidden="1" x14ac:dyDescent="0.2">
      <c r="A26" s="40" t="s">
        <v>95</v>
      </c>
      <c r="B26" s="47"/>
      <c r="C26" s="47">
        <f>ROUND(C25*B26,4)</f>
        <v>0</v>
      </c>
      <c r="D26" s="47">
        <f t="shared" ref="D26" si="1">ROUND(D25*B26,4)</f>
        <v>0</v>
      </c>
      <c r="G26" s="9"/>
      <c r="H26" s="9"/>
      <c r="I26" s="9"/>
      <c r="J26" s="9"/>
      <c r="K26" s="9"/>
    </row>
    <row r="27" spans="1:11" hidden="1" x14ac:dyDescent="0.2">
      <c r="A27" s="38" t="s">
        <v>96</v>
      </c>
      <c r="B27" s="47"/>
      <c r="C27" s="47">
        <f>ROUND(C26*B27,4)</f>
        <v>0</v>
      </c>
      <c r="D27" s="47">
        <f t="shared" ref="D27:D32" si="2">ROUND(D26*B27,4)</f>
        <v>0</v>
      </c>
      <c r="G27" s="9"/>
      <c r="H27" s="9"/>
      <c r="I27" s="9"/>
      <c r="J27" s="9"/>
      <c r="K27" s="9"/>
    </row>
    <row r="28" spans="1:11" hidden="1" x14ac:dyDescent="0.2">
      <c r="A28" s="40" t="s">
        <v>97</v>
      </c>
      <c r="B28" s="47"/>
      <c r="C28" s="47">
        <f>ROUND(C27*B28,4)</f>
        <v>0</v>
      </c>
      <c r="D28" s="47">
        <f t="shared" si="2"/>
        <v>0</v>
      </c>
      <c r="G28" s="9"/>
      <c r="H28" s="9"/>
      <c r="I28" s="9"/>
      <c r="J28" s="9"/>
      <c r="K28" s="9"/>
    </row>
    <row r="29" spans="1:11" hidden="1" x14ac:dyDescent="0.2">
      <c r="A29" s="38" t="s">
        <v>98</v>
      </c>
      <c r="B29" s="47"/>
      <c r="C29" s="47">
        <f>ROUND(C28*B29,4)</f>
        <v>0</v>
      </c>
      <c r="D29" s="47">
        <f t="shared" si="2"/>
        <v>0</v>
      </c>
      <c r="G29" s="9"/>
      <c r="H29" s="9"/>
      <c r="I29" s="9"/>
      <c r="J29" s="9"/>
      <c r="K29" s="9"/>
    </row>
    <row r="30" spans="1:11" hidden="1" x14ac:dyDescent="0.2">
      <c r="A30" s="40" t="s">
        <v>99</v>
      </c>
      <c r="B30" s="49"/>
      <c r="C30" s="49">
        <f>ROUND(C29*B30,4)</f>
        <v>0</v>
      </c>
      <c r="D30" s="47">
        <f t="shared" si="2"/>
        <v>0</v>
      </c>
      <c r="G30" s="9"/>
      <c r="H30" s="9"/>
      <c r="I30" s="9"/>
      <c r="J30" s="9"/>
      <c r="K30" s="9"/>
    </row>
    <row r="31" spans="1:11" hidden="1" x14ac:dyDescent="0.2">
      <c r="A31" s="43" t="s">
        <v>100</v>
      </c>
      <c r="B31" s="46"/>
      <c r="C31" s="46"/>
      <c r="D31" s="47">
        <f t="shared" si="2"/>
        <v>0</v>
      </c>
      <c r="G31" s="9"/>
      <c r="H31" s="9"/>
      <c r="I31" s="9"/>
      <c r="J31" s="9"/>
      <c r="K31" s="9"/>
    </row>
    <row r="32" spans="1:11" hidden="1" x14ac:dyDescent="0.2">
      <c r="A32" s="44" t="s">
        <v>101</v>
      </c>
      <c r="B32" s="46"/>
      <c r="C32" s="47">
        <f>ROUND(B32,4)</f>
        <v>0</v>
      </c>
      <c r="D32" s="47">
        <f t="shared" si="2"/>
        <v>0</v>
      </c>
      <c r="G32" s="9"/>
      <c r="H32" s="9"/>
      <c r="I32" s="9"/>
      <c r="J32" s="9"/>
      <c r="K32" s="9"/>
    </row>
    <row r="33" spans="1:11" hidden="1" x14ac:dyDescent="0.2">
      <c r="A33" s="43" t="s">
        <v>102</v>
      </c>
      <c r="B33" s="46"/>
      <c r="C33" s="47">
        <f>ROUND(C32*B33,4)</f>
        <v>0</v>
      </c>
      <c r="D33" s="47">
        <f t="shared" ref="D33:D42" si="3">ROUND(D32*B33,4)</f>
        <v>0</v>
      </c>
      <c r="G33" s="9"/>
      <c r="H33" s="9"/>
      <c r="I33" s="9"/>
      <c r="J33" s="9"/>
      <c r="K33" s="9"/>
    </row>
    <row r="34" spans="1:11" hidden="1" x14ac:dyDescent="0.2">
      <c r="A34" s="44" t="s">
        <v>103</v>
      </c>
      <c r="B34" s="46"/>
      <c r="C34" s="47">
        <f t="shared" ref="C34:C42" si="4">ROUND(C33*B34,4)</f>
        <v>0</v>
      </c>
      <c r="D34" s="47">
        <f t="shared" si="3"/>
        <v>0</v>
      </c>
      <c r="G34" s="9"/>
      <c r="H34" s="9"/>
      <c r="I34" s="9"/>
      <c r="J34" s="9"/>
      <c r="K34" s="9"/>
    </row>
    <row r="35" spans="1:11" hidden="1" x14ac:dyDescent="0.2">
      <c r="A35" s="43" t="s">
        <v>104</v>
      </c>
      <c r="B35" s="46"/>
      <c r="C35" s="47">
        <f t="shared" si="4"/>
        <v>0</v>
      </c>
      <c r="D35" s="47">
        <f t="shared" si="3"/>
        <v>0</v>
      </c>
      <c r="G35" s="9"/>
      <c r="H35" s="9"/>
      <c r="I35" s="9"/>
      <c r="J35" s="9"/>
      <c r="K35" s="9"/>
    </row>
    <row r="36" spans="1:11" hidden="1" x14ac:dyDescent="0.2">
      <c r="A36" s="44" t="s">
        <v>105</v>
      </c>
      <c r="B36" s="46"/>
      <c r="C36" s="47">
        <f t="shared" si="4"/>
        <v>0</v>
      </c>
      <c r="D36" s="47">
        <f t="shared" si="3"/>
        <v>0</v>
      </c>
      <c r="G36" s="9"/>
      <c r="H36" s="9"/>
      <c r="I36" s="9"/>
      <c r="J36" s="9"/>
      <c r="K36" s="9"/>
    </row>
    <row r="37" spans="1:11" hidden="1" x14ac:dyDescent="0.2">
      <c r="A37" s="43" t="s">
        <v>106</v>
      </c>
      <c r="B37" s="46"/>
      <c r="C37" s="47">
        <f t="shared" si="4"/>
        <v>0</v>
      </c>
      <c r="D37" s="47">
        <f t="shared" si="3"/>
        <v>0</v>
      </c>
      <c r="G37" s="9"/>
      <c r="H37" s="9"/>
      <c r="I37" s="9"/>
      <c r="J37" s="9"/>
      <c r="K37" s="9"/>
    </row>
    <row r="38" spans="1:11" hidden="1" x14ac:dyDescent="0.2">
      <c r="A38" s="44" t="s">
        <v>107</v>
      </c>
      <c r="B38" s="46"/>
      <c r="C38" s="47">
        <f t="shared" si="4"/>
        <v>0</v>
      </c>
      <c r="D38" s="47">
        <f t="shared" si="3"/>
        <v>0</v>
      </c>
      <c r="G38" s="9"/>
      <c r="H38" s="9"/>
      <c r="I38" s="9"/>
      <c r="J38" s="9"/>
      <c r="K38" s="9"/>
    </row>
    <row r="39" spans="1:11" hidden="1" x14ac:dyDescent="0.2">
      <c r="A39" s="43" t="s">
        <v>108</v>
      </c>
      <c r="B39" s="46"/>
      <c r="C39" s="47">
        <f t="shared" si="4"/>
        <v>0</v>
      </c>
      <c r="D39" s="47">
        <f t="shared" si="3"/>
        <v>0</v>
      </c>
    </row>
    <row r="40" spans="1:11" hidden="1" x14ac:dyDescent="0.2">
      <c r="A40" s="44" t="s">
        <v>109</v>
      </c>
      <c r="B40" s="46"/>
      <c r="C40" s="47">
        <f t="shared" si="4"/>
        <v>0</v>
      </c>
      <c r="D40" s="47">
        <f t="shared" si="3"/>
        <v>0</v>
      </c>
    </row>
    <row r="41" spans="1:11" hidden="1" x14ac:dyDescent="0.2">
      <c r="A41" s="43" t="s">
        <v>110</v>
      </c>
      <c r="B41" s="46"/>
      <c r="C41" s="47">
        <f t="shared" si="4"/>
        <v>0</v>
      </c>
      <c r="D41" s="47">
        <f t="shared" si="3"/>
        <v>0</v>
      </c>
    </row>
    <row r="42" spans="1:11" hidden="1" x14ac:dyDescent="0.2">
      <c r="A42" s="44" t="s">
        <v>111</v>
      </c>
      <c r="B42" s="50"/>
      <c r="C42" s="49">
        <f t="shared" si="4"/>
        <v>0</v>
      </c>
      <c r="D42" s="47">
        <f t="shared" si="3"/>
        <v>0</v>
      </c>
    </row>
    <row r="43" spans="1:11" x14ac:dyDescent="0.2">
      <c r="A43" s="38" t="s">
        <v>115</v>
      </c>
      <c r="B43" s="46">
        <v>1.0105</v>
      </c>
      <c r="C43" s="47">
        <f>ROUND(B43,4)</f>
        <v>1.0105</v>
      </c>
      <c r="D43" s="47">
        <f>ROUND(B43,4)</f>
        <v>1.0105</v>
      </c>
    </row>
    <row r="44" spans="1:11" x14ac:dyDescent="0.2">
      <c r="A44" s="40" t="s">
        <v>116</v>
      </c>
      <c r="B44" s="46">
        <v>1.0105</v>
      </c>
      <c r="C44" s="47">
        <f>ROUND(C43*B44,4)</f>
        <v>1.0210999999999999</v>
      </c>
      <c r="D44" s="47">
        <f t="shared" ref="D44:D54" si="5">ROUND(D43*B44,4)</f>
        <v>1.0210999999999999</v>
      </c>
    </row>
    <row r="45" spans="1:11" x14ac:dyDescent="0.2">
      <c r="A45" s="38" t="s">
        <v>117</v>
      </c>
      <c r="B45" s="46">
        <v>1.0105</v>
      </c>
      <c r="C45" s="48">
        <f>ROUND(C44*B45,4)</f>
        <v>1.0318000000000001</v>
      </c>
      <c r="D45" s="47">
        <f t="shared" si="5"/>
        <v>1.0318000000000001</v>
      </c>
    </row>
    <row r="46" spans="1:11" x14ac:dyDescent="0.2">
      <c r="A46" s="40" t="s">
        <v>118</v>
      </c>
      <c r="B46" s="46">
        <v>1.0144</v>
      </c>
      <c r="C46" s="48">
        <f t="shared" ref="C46:C54" si="6">ROUND(C45*B46,4)</f>
        <v>1.0467</v>
      </c>
      <c r="D46" s="47">
        <f t="shared" si="5"/>
        <v>1.0467</v>
      </c>
    </row>
    <row r="47" spans="1:11" x14ac:dyDescent="0.2">
      <c r="A47" s="38" t="s">
        <v>119</v>
      </c>
      <c r="B47" s="46">
        <v>1.0144</v>
      </c>
      <c r="C47" s="48">
        <f t="shared" si="6"/>
        <v>1.0618000000000001</v>
      </c>
      <c r="D47" s="47">
        <f t="shared" si="5"/>
        <v>1.0618000000000001</v>
      </c>
    </row>
    <row r="48" spans="1:11" x14ac:dyDescent="0.2">
      <c r="A48" s="40" t="s">
        <v>120</v>
      </c>
      <c r="B48" s="46">
        <v>1.0144</v>
      </c>
      <c r="C48" s="48">
        <f t="shared" si="6"/>
        <v>1.0770999999999999</v>
      </c>
      <c r="D48" s="47">
        <f t="shared" si="5"/>
        <v>1.0770999999999999</v>
      </c>
    </row>
    <row r="49" spans="1:4" x14ac:dyDescent="0.2">
      <c r="A49" s="38" t="s">
        <v>121</v>
      </c>
      <c r="B49" s="46">
        <v>1.0144</v>
      </c>
      <c r="C49" s="48">
        <f t="shared" si="6"/>
        <v>1.0926</v>
      </c>
      <c r="D49" s="47">
        <f t="shared" si="5"/>
        <v>1.0926</v>
      </c>
    </row>
    <row r="50" spans="1:4" x14ac:dyDescent="0.2">
      <c r="A50" s="40" t="s">
        <v>122</v>
      </c>
      <c r="B50" s="46">
        <v>1.0144</v>
      </c>
      <c r="C50" s="48">
        <f t="shared" si="6"/>
        <v>1.1083000000000001</v>
      </c>
      <c r="D50" s="47">
        <f t="shared" si="5"/>
        <v>1.1083000000000001</v>
      </c>
    </row>
    <row r="51" spans="1:4" x14ac:dyDescent="0.2">
      <c r="A51" s="38" t="s">
        <v>123</v>
      </c>
      <c r="B51" s="46">
        <v>1.0144</v>
      </c>
      <c r="C51" s="48">
        <f t="shared" si="6"/>
        <v>1.1243000000000001</v>
      </c>
      <c r="D51" s="47">
        <f t="shared" si="5"/>
        <v>1.1243000000000001</v>
      </c>
    </row>
    <row r="52" spans="1:4" x14ac:dyDescent="0.2">
      <c r="A52" s="40" t="s">
        <v>124</v>
      </c>
      <c r="B52" s="46">
        <v>1.0144</v>
      </c>
      <c r="C52" s="48">
        <f t="shared" si="6"/>
        <v>1.1405000000000001</v>
      </c>
      <c r="D52" s="47">
        <f t="shared" si="5"/>
        <v>1.1405000000000001</v>
      </c>
    </row>
    <row r="53" spans="1:4" x14ac:dyDescent="0.2">
      <c r="A53" s="38" t="s">
        <v>125</v>
      </c>
      <c r="B53" s="46">
        <v>1.0144</v>
      </c>
      <c r="C53" s="48">
        <f t="shared" si="6"/>
        <v>1.1569</v>
      </c>
      <c r="D53" s="47">
        <f t="shared" si="5"/>
        <v>1.1569</v>
      </c>
    </row>
    <row r="54" spans="1:4" x14ac:dyDescent="0.2">
      <c r="A54" s="40" t="s">
        <v>126</v>
      </c>
      <c r="B54" s="46">
        <v>1.0144</v>
      </c>
      <c r="C54" s="51">
        <f t="shared" si="6"/>
        <v>1.1736</v>
      </c>
      <c r="D54" s="47">
        <f t="shared" si="5"/>
        <v>1.1736</v>
      </c>
    </row>
  </sheetData>
  <hyperlinks>
    <hyperlink ref="A16" r:id="rId1"/>
  </hyperlinks>
  <pageMargins left="0.7" right="0.7" top="0.75" bottom="0.75" header="0.3" footer="0.3"/>
  <customProperties>
    <customPr name="LastActive" r:id="rId2"/>
  </customProperties>
  <drawing r:id="rId3"/>
  <tableParts count="2">
    <tablePart r:id="rId4"/>
    <tablePart r:id="rId5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X86"/>
  <sheetViews>
    <sheetView topLeftCell="A53" workbookViewId="0">
      <selection activeCell="C75" sqref="C75:J81"/>
    </sheetView>
  </sheetViews>
  <sheetFormatPr defaultRowHeight="12.75" x14ac:dyDescent="0.2"/>
  <cols>
    <col min="1" max="1" width="10.7109375" customWidth="1"/>
    <col min="2" max="2" width="13.7109375" customWidth="1"/>
    <col min="4" max="4" width="14.7109375" customWidth="1"/>
  </cols>
  <sheetData>
    <row r="1" spans="1:5" x14ac:dyDescent="0.2">
      <c r="A1" t="s">
        <v>54</v>
      </c>
      <c r="B1" t="s">
        <v>127</v>
      </c>
      <c r="C1" t="s">
        <v>25</v>
      </c>
      <c r="D1" t="s">
        <v>71</v>
      </c>
      <c r="E1" t="s">
        <v>128</v>
      </c>
    </row>
    <row r="2" spans="1:5" hidden="1" x14ac:dyDescent="0.2">
      <c r="A2" t="s">
        <v>0</v>
      </c>
      <c r="B2" t="s">
        <v>88</v>
      </c>
      <c r="C2" s="28"/>
      <c r="D2" s="60"/>
      <c r="E2" s="29" t="str">
        <f>IF(C51&gt;0,"факт","прогноз")</f>
        <v>факт</v>
      </c>
    </row>
    <row r="3" spans="1:5" hidden="1" x14ac:dyDescent="0.2">
      <c r="A3" t="s">
        <v>1</v>
      </c>
      <c r="B3" t="s">
        <v>89</v>
      </c>
      <c r="C3" s="29"/>
      <c r="D3" s="60"/>
      <c r="E3" s="29" t="str">
        <f t="shared" ref="E3:E13" si="0">IF(C52&gt;0,"факт","прогноз")</f>
        <v>факт</v>
      </c>
    </row>
    <row r="4" spans="1:5" hidden="1" x14ac:dyDescent="0.2">
      <c r="A4" t="s">
        <v>2</v>
      </c>
      <c r="B4" t="s">
        <v>90</v>
      </c>
      <c r="C4" s="29"/>
      <c r="D4" s="60"/>
      <c r="E4" s="29" t="str">
        <f t="shared" si="0"/>
        <v>факт</v>
      </c>
    </row>
    <row r="5" spans="1:5" hidden="1" x14ac:dyDescent="0.2">
      <c r="A5" t="s">
        <v>3</v>
      </c>
      <c r="B5" t="s">
        <v>91</v>
      </c>
      <c r="C5" s="29"/>
      <c r="D5" s="60"/>
      <c r="E5" s="29" t="str">
        <f t="shared" si="0"/>
        <v>факт</v>
      </c>
    </row>
    <row r="6" spans="1:5" hidden="1" x14ac:dyDescent="0.2">
      <c r="A6" t="s">
        <v>4</v>
      </c>
      <c r="B6" t="s">
        <v>92</v>
      </c>
      <c r="C6" s="29"/>
      <c r="D6" s="60"/>
      <c r="E6" s="29" t="str">
        <f t="shared" si="0"/>
        <v>факт</v>
      </c>
    </row>
    <row r="7" spans="1:5" hidden="1" x14ac:dyDescent="0.2">
      <c r="A7" t="s">
        <v>5</v>
      </c>
      <c r="B7" t="s">
        <v>93</v>
      </c>
      <c r="C7" s="29"/>
      <c r="D7" s="60"/>
      <c r="E7" s="29" t="str">
        <f t="shared" si="0"/>
        <v>факт</v>
      </c>
    </row>
    <row r="8" spans="1:5" hidden="1" x14ac:dyDescent="0.2">
      <c r="A8" t="s">
        <v>6</v>
      </c>
      <c r="B8" t="s">
        <v>94</v>
      </c>
      <c r="C8" s="29"/>
      <c r="D8" s="60"/>
      <c r="E8" s="29" t="str">
        <f t="shared" si="0"/>
        <v>факт</v>
      </c>
    </row>
    <row r="9" spans="1:5" hidden="1" x14ac:dyDescent="0.2">
      <c r="A9" s="7" t="s">
        <v>7</v>
      </c>
      <c r="B9" t="s">
        <v>95</v>
      </c>
      <c r="C9" s="29"/>
      <c r="D9" s="60"/>
      <c r="E9" s="29" t="str">
        <f t="shared" si="0"/>
        <v>факт</v>
      </c>
    </row>
    <row r="10" spans="1:5" hidden="1" x14ac:dyDescent="0.2">
      <c r="A10" s="7" t="s">
        <v>8</v>
      </c>
      <c r="B10" t="s">
        <v>96</v>
      </c>
      <c r="C10" s="29"/>
      <c r="D10" s="60"/>
      <c r="E10" s="29" t="str">
        <f t="shared" si="0"/>
        <v>факт</v>
      </c>
    </row>
    <row r="11" spans="1:5" hidden="1" x14ac:dyDescent="0.2">
      <c r="A11" s="7" t="s">
        <v>9</v>
      </c>
      <c r="B11" t="s">
        <v>97</v>
      </c>
      <c r="C11" s="29"/>
      <c r="D11" s="60"/>
      <c r="E11" s="29" t="str">
        <f t="shared" si="0"/>
        <v>факт</v>
      </c>
    </row>
    <row r="12" spans="1:5" hidden="1" x14ac:dyDescent="0.2">
      <c r="A12" s="7" t="s">
        <v>10</v>
      </c>
      <c r="B12" t="s">
        <v>98</v>
      </c>
      <c r="C12" s="29"/>
      <c r="D12" s="60"/>
      <c r="E12" s="29" t="str">
        <f t="shared" si="0"/>
        <v>факт</v>
      </c>
    </row>
    <row r="13" spans="1:5" hidden="1" x14ac:dyDescent="0.2">
      <c r="A13" s="7" t="s">
        <v>11</v>
      </c>
      <c r="B13" t="s">
        <v>99</v>
      </c>
      <c r="C13" s="29"/>
      <c r="D13" s="61"/>
      <c r="E13" s="29" t="str">
        <f t="shared" si="0"/>
        <v>факт</v>
      </c>
    </row>
    <row r="14" spans="1:5" hidden="1" x14ac:dyDescent="0.2">
      <c r="A14" t="s">
        <v>0</v>
      </c>
      <c r="B14" s="42" t="s">
        <v>100</v>
      </c>
      <c r="C14" s="45"/>
      <c r="D14" s="62"/>
      <c r="E14" s="35" t="str">
        <f t="shared" ref="E14:E36" si="1">IF(C63&gt;0,"факт","прогноз")</f>
        <v>факт</v>
      </c>
    </row>
    <row r="15" spans="1:5" hidden="1" x14ac:dyDescent="0.2">
      <c r="A15" t="s">
        <v>1</v>
      </c>
      <c r="B15" s="42" t="s">
        <v>101</v>
      </c>
      <c r="C15" s="45"/>
      <c r="D15" s="62"/>
      <c r="E15" s="35" t="str">
        <f t="shared" si="1"/>
        <v>факт</v>
      </c>
    </row>
    <row r="16" spans="1:5" hidden="1" x14ac:dyDescent="0.2">
      <c r="A16" t="s">
        <v>2</v>
      </c>
      <c r="B16" s="42" t="s">
        <v>102</v>
      </c>
      <c r="C16" s="45"/>
      <c r="D16" s="62"/>
      <c r="E16" s="35" t="str">
        <f t="shared" si="1"/>
        <v>факт</v>
      </c>
    </row>
    <row r="17" spans="1:5" hidden="1" x14ac:dyDescent="0.2">
      <c r="A17" t="s">
        <v>3</v>
      </c>
      <c r="B17" s="42" t="s">
        <v>103</v>
      </c>
      <c r="C17" s="45"/>
      <c r="D17" s="62"/>
      <c r="E17" s="35" t="str">
        <f t="shared" si="1"/>
        <v>факт</v>
      </c>
    </row>
    <row r="18" spans="1:5" hidden="1" x14ac:dyDescent="0.2">
      <c r="A18" t="s">
        <v>4</v>
      </c>
      <c r="B18" s="42" t="s">
        <v>104</v>
      </c>
      <c r="C18" s="45"/>
      <c r="D18" s="62"/>
      <c r="E18" s="35" t="str">
        <f t="shared" si="1"/>
        <v>факт</v>
      </c>
    </row>
    <row r="19" spans="1:5" hidden="1" x14ac:dyDescent="0.2">
      <c r="A19" t="s">
        <v>5</v>
      </c>
      <c r="B19" s="42" t="s">
        <v>105</v>
      </c>
      <c r="C19" s="45"/>
      <c r="D19" s="62"/>
      <c r="E19" s="35" t="str">
        <f t="shared" si="1"/>
        <v>факт</v>
      </c>
    </row>
    <row r="20" spans="1:5" hidden="1" x14ac:dyDescent="0.2">
      <c r="A20" t="s">
        <v>6</v>
      </c>
      <c r="B20" s="42" t="s">
        <v>106</v>
      </c>
      <c r="C20" s="45"/>
      <c r="D20" s="62"/>
      <c r="E20" s="35" t="str">
        <f t="shared" si="1"/>
        <v>факт</v>
      </c>
    </row>
    <row r="21" spans="1:5" hidden="1" x14ac:dyDescent="0.2">
      <c r="A21" s="7" t="s">
        <v>7</v>
      </c>
      <c r="B21" s="42" t="s">
        <v>107</v>
      </c>
      <c r="C21" s="45"/>
      <c r="D21" s="62"/>
      <c r="E21" s="35" t="str">
        <f t="shared" si="1"/>
        <v>факт</v>
      </c>
    </row>
    <row r="22" spans="1:5" hidden="1" x14ac:dyDescent="0.2">
      <c r="A22" s="7" t="s">
        <v>8</v>
      </c>
      <c r="B22" s="42" t="s">
        <v>108</v>
      </c>
      <c r="C22" s="45"/>
      <c r="D22" s="62"/>
      <c r="E22" s="35" t="str">
        <f t="shared" si="1"/>
        <v>факт</v>
      </c>
    </row>
    <row r="23" spans="1:5" hidden="1" x14ac:dyDescent="0.2">
      <c r="A23" s="7" t="s">
        <v>9</v>
      </c>
      <c r="B23" s="42" t="s">
        <v>109</v>
      </c>
      <c r="C23" s="45"/>
      <c r="D23" s="62"/>
      <c r="E23" s="35" t="str">
        <f t="shared" si="1"/>
        <v>факт</v>
      </c>
    </row>
    <row r="24" spans="1:5" hidden="1" x14ac:dyDescent="0.2">
      <c r="A24" s="7" t="s">
        <v>10</v>
      </c>
      <c r="B24" s="42" t="s">
        <v>110</v>
      </c>
      <c r="C24" s="45"/>
      <c r="D24" s="62"/>
      <c r="E24" s="35" t="str">
        <f t="shared" si="1"/>
        <v>факт</v>
      </c>
    </row>
    <row r="25" spans="1:5" hidden="1" x14ac:dyDescent="0.2">
      <c r="A25" s="7" t="s">
        <v>11</v>
      </c>
      <c r="B25" s="42" t="s">
        <v>111</v>
      </c>
      <c r="C25" s="45"/>
      <c r="D25" s="62">
        <v>1</v>
      </c>
      <c r="E25" s="35" t="str">
        <f t="shared" si="1"/>
        <v>факт</v>
      </c>
    </row>
    <row r="26" spans="1:5" x14ac:dyDescent="0.2">
      <c r="A26" s="7" t="s">
        <v>0</v>
      </c>
      <c r="B26" s="79" t="s">
        <v>115</v>
      </c>
      <c r="C26" s="45">
        <f>IF(E75&gt;0,E75,100.69)</f>
        <v>104.5</v>
      </c>
      <c r="D26" s="62">
        <f t="shared" ref="D26:D36" si="2">ROUND(D25*C26/100,4)</f>
        <v>1.0449999999999999</v>
      </c>
      <c r="E26" s="106" t="str">
        <f t="shared" si="1"/>
        <v>факт</v>
      </c>
    </row>
    <row r="27" spans="1:5" x14ac:dyDescent="0.2">
      <c r="A27" s="7" t="s">
        <v>1</v>
      </c>
      <c r="B27" s="79" t="s">
        <v>116</v>
      </c>
      <c r="C27" s="45">
        <f t="shared" ref="C27:C29" si="3">IF(E76&gt;0,E76,100.69)</f>
        <v>94.9</v>
      </c>
      <c r="D27" s="62">
        <f t="shared" si="2"/>
        <v>0.99170000000000003</v>
      </c>
      <c r="E27" s="106" t="str">
        <f t="shared" si="1"/>
        <v>факт</v>
      </c>
    </row>
    <row r="28" spans="1:5" x14ac:dyDescent="0.2">
      <c r="A28" s="7" t="s">
        <v>2</v>
      </c>
      <c r="B28" s="79" t="s">
        <v>117</v>
      </c>
      <c r="C28" s="45">
        <f t="shared" si="3"/>
        <v>101.6</v>
      </c>
      <c r="D28" s="62">
        <f t="shared" si="2"/>
        <v>1.0076000000000001</v>
      </c>
      <c r="E28" s="106" t="str">
        <f t="shared" si="1"/>
        <v>факт</v>
      </c>
    </row>
    <row r="29" spans="1:5" x14ac:dyDescent="0.2">
      <c r="A29" s="7" t="s">
        <v>3</v>
      </c>
      <c r="B29" s="79" t="s">
        <v>118</v>
      </c>
      <c r="C29" s="45">
        <f t="shared" si="3"/>
        <v>104</v>
      </c>
      <c r="D29" s="62">
        <f t="shared" si="2"/>
        <v>1.0479000000000001</v>
      </c>
      <c r="E29" s="106" t="str">
        <f t="shared" si="1"/>
        <v>факт</v>
      </c>
    </row>
    <row r="30" spans="1:5" x14ac:dyDescent="0.2">
      <c r="A30" s="7" t="s">
        <v>4</v>
      </c>
      <c r="B30" s="79" t="s">
        <v>119</v>
      </c>
      <c r="C30" s="45">
        <f>IF(E79&gt;0,E79,101.1)</f>
        <v>101.5</v>
      </c>
      <c r="D30" s="62">
        <f t="shared" si="2"/>
        <v>1.0636000000000001</v>
      </c>
      <c r="E30" s="106" t="str">
        <f t="shared" si="1"/>
        <v>факт</v>
      </c>
    </row>
    <row r="31" spans="1:5" x14ac:dyDescent="0.2">
      <c r="A31" s="7" t="s">
        <v>5</v>
      </c>
      <c r="B31" s="79" t="s">
        <v>120</v>
      </c>
      <c r="C31" s="45">
        <f t="shared" ref="C31:C37" si="4">IF(E80&gt;0,E80,101.1)</f>
        <v>102.4</v>
      </c>
      <c r="D31" s="62">
        <f t="shared" si="2"/>
        <v>1.0891</v>
      </c>
      <c r="E31" s="106" t="str">
        <f t="shared" si="1"/>
        <v>факт</v>
      </c>
    </row>
    <row r="32" spans="1:5" x14ac:dyDescent="0.2">
      <c r="A32" s="7" t="s">
        <v>6</v>
      </c>
      <c r="B32" s="79" t="s">
        <v>121</v>
      </c>
      <c r="C32" s="45">
        <f t="shared" si="4"/>
        <v>101.9</v>
      </c>
      <c r="D32" s="62">
        <f t="shared" si="2"/>
        <v>1.1097999999999999</v>
      </c>
      <c r="E32" s="106" t="str">
        <f t="shared" si="1"/>
        <v>факт</v>
      </c>
    </row>
    <row r="33" spans="1:10" x14ac:dyDescent="0.2">
      <c r="A33" s="7" t="s">
        <v>7</v>
      </c>
      <c r="B33" s="79" t="s">
        <v>122</v>
      </c>
      <c r="C33" s="45">
        <f t="shared" si="4"/>
        <v>101.1</v>
      </c>
      <c r="D33" s="62">
        <f t="shared" si="2"/>
        <v>1.1220000000000001</v>
      </c>
      <c r="E33" s="106" t="str">
        <f t="shared" si="1"/>
        <v>прогноз</v>
      </c>
    </row>
    <row r="34" spans="1:10" x14ac:dyDescent="0.2">
      <c r="A34" s="7" t="s">
        <v>8</v>
      </c>
      <c r="B34" s="79" t="s">
        <v>123</v>
      </c>
      <c r="C34" s="45">
        <f t="shared" si="4"/>
        <v>101.1</v>
      </c>
      <c r="D34" s="62">
        <f t="shared" si="2"/>
        <v>1.1343000000000001</v>
      </c>
      <c r="E34" s="106" t="str">
        <f t="shared" si="1"/>
        <v>прогноз</v>
      </c>
    </row>
    <row r="35" spans="1:10" x14ac:dyDescent="0.2">
      <c r="A35" s="7" t="s">
        <v>9</v>
      </c>
      <c r="B35" s="79" t="s">
        <v>124</v>
      </c>
      <c r="C35" s="45">
        <f t="shared" si="4"/>
        <v>101.1</v>
      </c>
      <c r="D35" s="62">
        <f t="shared" si="2"/>
        <v>1.1468</v>
      </c>
      <c r="E35" s="106" t="str">
        <f t="shared" si="1"/>
        <v>прогноз</v>
      </c>
    </row>
    <row r="36" spans="1:10" x14ac:dyDescent="0.2">
      <c r="A36" s="7" t="s">
        <v>10</v>
      </c>
      <c r="B36" s="79" t="s">
        <v>125</v>
      </c>
      <c r="C36" s="45">
        <f t="shared" si="4"/>
        <v>101.1</v>
      </c>
      <c r="D36" s="62">
        <f t="shared" si="2"/>
        <v>1.1594</v>
      </c>
      <c r="E36" s="106" t="str">
        <f t="shared" si="1"/>
        <v>прогноз</v>
      </c>
    </row>
    <row r="37" spans="1:10" x14ac:dyDescent="0.2">
      <c r="A37" s="7" t="s">
        <v>11</v>
      </c>
      <c r="B37" s="79" t="s">
        <v>126</v>
      </c>
      <c r="C37" s="45">
        <f t="shared" si="4"/>
        <v>101.1</v>
      </c>
      <c r="D37" s="62">
        <f>ROUND(D36*C37/100,4)</f>
        <v>1.1721999999999999</v>
      </c>
      <c r="E37" s="106" t="str">
        <f>IF(C86&gt;0,"факт","прогноз")</f>
        <v>прогноз</v>
      </c>
    </row>
    <row r="38" spans="1:10" x14ac:dyDescent="0.2">
      <c r="A38" s="7"/>
      <c r="B38" s="79"/>
      <c r="C38" s="45"/>
      <c r="D38" s="60"/>
      <c r="E38" s="78"/>
    </row>
    <row r="39" spans="1:10" x14ac:dyDescent="0.2">
      <c r="A39" s="7"/>
      <c r="B39" s="79"/>
      <c r="C39" s="45"/>
      <c r="D39" s="60"/>
      <c r="E39" s="78"/>
    </row>
    <row r="41" spans="1:10" x14ac:dyDescent="0.2">
      <c r="A41" s="7" t="s">
        <v>163</v>
      </c>
      <c r="B41" s="7"/>
    </row>
    <row r="43" spans="1:10" x14ac:dyDescent="0.2">
      <c r="A43" t="s">
        <v>72</v>
      </c>
      <c r="C43" s="30" t="s">
        <v>73</v>
      </c>
    </row>
    <row r="44" spans="1:10" x14ac:dyDescent="0.2">
      <c r="C44" s="30" t="s">
        <v>84</v>
      </c>
    </row>
    <row r="47" spans="1:10" ht="25.5" customHeight="1" x14ac:dyDescent="0.2">
      <c r="A47" s="140" t="s">
        <v>86</v>
      </c>
      <c r="B47" s="35"/>
      <c r="C47" s="140" t="s">
        <v>63</v>
      </c>
      <c r="D47" s="140"/>
      <c r="E47" s="140" t="s">
        <v>64</v>
      </c>
      <c r="F47" s="140"/>
      <c r="G47" s="140"/>
      <c r="H47" s="140"/>
      <c r="I47" s="140"/>
      <c r="J47" s="140"/>
    </row>
    <row r="48" spans="1:10" ht="25.5" customHeight="1" x14ac:dyDescent="0.2">
      <c r="A48" s="140"/>
      <c r="B48" s="35"/>
      <c r="C48" s="140"/>
      <c r="D48" s="140"/>
      <c r="E48" s="141" t="s">
        <v>65</v>
      </c>
      <c r="F48" s="141"/>
      <c r="G48" s="140" t="s">
        <v>66</v>
      </c>
      <c r="H48" s="140"/>
      <c r="I48" s="140" t="s">
        <v>67</v>
      </c>
      <c r="J48" s="140"/>
    </row>
    <row r="49" spans="1:24" ht="51" x14ac:dyDescent="0.2">
      <c r="A49" s="140"/>
      <c r="B49" s="35"/>
      <c r="C49" s="9" t="s">
        <v>68</v>
      </c>
      <c r="D49" s="9" t="s">
        <v>69</v>
      </c>
      <c r="E49" s="9" t="s">
        <v>68</v>
      </c>
      <c r="F49" s="9" t="s">
        <v>69</v>
      </c>
      <c r="G49" s="9" t="s">
        <v>68</v>
      </c>
      <c r="H49" s="9" t="s">
        <v>69</v>
      </c>
      <c r="I49" s="9" t="s">
        <v>68</v>
      </c>
      <c r="J49" s="9" t="s">
        <v>69</v>
      </c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</row>
    <row r="50" spans="1:24" ht="12.75" customHeight="1" x14ac:dyDescent="0.2">
      <c r="A50" s="140" t="s">
        <v>70</v>
      </c>
      <c r="B50" s="140"/>
      <c r="C50" s="140"/>
      <c r="D50" s="140"/>
      <c r="E50" s="140"/>
      <c r="F50" s="140"/>
      <c r="G50" s="140"/>
      <c r="H50" s="140"/>
      <c r="I50" s="140"/>
      <c r="J50" s="140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</row>
    <row r="51" spans="1:24" ht="15" x14ac:dyDescent="0.2">
      <c r="A51" s="9" t="s">
        <v>0</v>
      </c>
      <c r="B51" s="39" t="s">
        <v>88</v>
      </c>
      <c r="C51" s="34">
        <v>103.9</v>
      </c>
      <c r="D51" s="34">
        <v>103.9</v>
      </c>
      <c r="E51" s="34">
        <v>102.1</v>
      </c>
      <c r="F51" s="34">
        <v>102.1</v>
      </c>
      <c r="G51" s="34">
        <v>100</v>
      </c>
      <c r="H51" s="34">
        <v>100</v>
      </c>
      <c r="I51" s="34">
        <v>120.5</v>
      </c>
      <c r="J51" s="34">
        <v>120.5</v>
      </c>
      <c r="M51" s="36"/>
      <c r="N51" s="36"/>
      <c r="O51" s="36"/>
      <c r="P51" s="36"/>
      <c r="Q51" s="36"/>
      <c r="R51" s="36"/>
      <c r="S51" s="36"/>
      <c r="T51" s="36"/>
      <c r="U51" s="33"/>
      <c r="V51" s="32"/>
      <c r="W51" s="33"/>
      <c r="X51" s="31"/>
    </row>
    <row r="52" spans="1:24" ht="15" x14ac:dyDescent="0.2">
      <c r="A52" s="9" t="s">
        <v>1</v>
      </c>
      <c r="B52" s="41" t="s">
        <v>89</v>
      </c>
      <c r="C52" s="34">
        <v>95.4</v>
      </c>
      <c r="D52" s="34">
        <v>99.1</v>
      </c>
      <c r="E52" s="34">
        <v>95.8</v>
      </c>
      <c r="F52" s="34">
        <v>97.8</v>
      </c>
      <c r="G52" s="34">
        <v>101.3</v>
      </c>
      <c r="H52" s="34">
        <v>101.2</v>
      </c>
      <c r="I52" s="34">
        <v>79.5</v>
      </c>
      <c r="J52" s="34">
        <v>95.9</v>
      </c>
      <c r="M52" s="36"/>
      <c r="N52" s="36"/>
      <c r="O52" s="36"/>
      <c r="P52" s="36"/>
      <c r="Q52" s="36"/>
      <c r="R52" s="36"/>
      <c r="S52" s="36"/>
      <c r="T52" s="36"/>
      <c r="U52" s="33"/>
      <c r="V52" s="32"/>
      <c r="W52" s="33"/>
      <c r="X52" s="31"/>
    </row>
    <row r="53" spans="1:24" ht="15" x14ac:dyDescent="0.2">
      <c r="A53" s="9" t="s">
        <v>2</v>
      </c>
      <c r="B53" s="39" t="s">
        <v>90</v>
      </c>
      <c r="C53" s="34">
        <v>101.3</v>
      </c>
      <c r="D53" s="34">
        <v>100.4</v>
      </c>
      <c r="E53" s="34">
        <v>99.9</v>
      </c>
      <c r="F53" s="34">
        <v>97.7</v>
      </c>
      <c r="G53" s="34">
        <v>102.5</v>
      </c>
      <c r="H53" s="34">
        <v>103.8</v>
      </c>
      <c r="I53" s="34">
        <v>103.2</v>
      </c>
      <c r="J53" s="34">
        <v>99</v>
      </c>
      <c r="M53" s="36"/>
      <c r="N53" s="36"/>
      <c r="O53" s="36"/>
      <c r="P53" s="36"/>
      <c r="Q53" s="36"/>
      <c r="R53" s="36"/>
      <c r="S53" s="36"/>
      <c r="T53" s="36"/>
      <c r="U53" s="33"/>
      <c r="V53" s="32"/>
      <c r="W53" s="33"/>
      <c r="X53" s="31"/>
    </row>
    <row r="54" spans="1:24" ht="15" x14ac:dyDescent="0.2">
      <c r="A54" s="9" t="s">
        <v>3</v>
      </c>
      <c r="B54" s="41" t="s">
        <v>91</v>
      </c>
      <c r="C54" s="34">
        <v>102.5</v>
      </c>
      <c r="D54" s="34">
        <v>102.9</v>
      </c>
      <c r="E54" s="34">
        <v>102.3</v>
      </c>
      <c r="F54" s="34">
        <v>99.9</v>
      </c>
      <c r="G54" s="34">
        <v>100.6</v>
      </c>
      <c r="H54" s="34">
        <v>104.4</v>
      </c>
      <c r="I54" s="34">
        <v>107.6</v>
      </c>
      <c r="J54" s="34">
        <v>106.5</v>
      </c>
      <c r="M54" s="36"/>
      <c r="N54" s="36"/>
      <c r="O54" s="36"/>
      <c r="P54" s="36"/>
      <c r="Q54" s="36"/>
      <c r="R54" s="36"/>
      <c r="S54" s="36"/>
      <c r="T54" s="36"/>
      <c r="U54" s="33"/>
      <c r="V54" s="32"/>
      <c r="W54" s="33"/>
      <c r="X54" s="31"/>
    </row>
    <row r="55" spans="1:24" ht="15" x14ac:dyDescent="0.2">
      <c r="A55" s="9" t="s">
        <v>4</v>
      </c>
      <c r="B55" s="39" t="s">
        <v>92</v>
      </c>
      <c r="C55" s="34">
        <v>99.2</v>
      </c>
      <c r="D55" s="34">
        <v>102</v>
      </c>
      <c r="E55" s="34">
        <v>99.8</v>
      </c>
      <c r="F55" s="34">
        <v>99.8</v>
      </c>
      <c r="G55" s="34">
        <v>99.4</v>
      </c>
      <c r="H55" s="34">
        <v>103.8</v>
      </c>
      <c r="I55" s="34">
        <v>96.3</v>
      </c>
      <c r="J55" s="34">
        <v>102.5</v>
      </c>
      <c r="M55" s="36"/>
      <c r="N55" s="36"/>
      <c r="O55" s="36"/>
      <c r="P55" s="36"/>
      <c r="Q55" s="36"/>
      <c r="R55" s="36"/>
      <c r="S55" s="36"/>
      <c r="T55" s="36"/>
      <c r="U55" s="33"/>
      <c r="V55" s="32"/>
      <c r="W55" s="33"/>
      <c r="X55" s="31"/>
    </row>
    <row r="56" spans="1:24" ht="15" x14ac:dyDescent="0.2">
      <c r="A56" s="9" t="s">
        <v>5</v>
      </c>
      <c r="B56" s="41" t="s">
        <v>93</v>
      </c>
      <c r="C56" s="34">
        <v>103.7</v>
      </c>
      <c r="D56" s="34">
        <v>105.8</v>
      </c>
      <c r="E56" s="34">
        <v>103.2</v>
      </c>
      <c r="F56" s="34">
        <v>103</v>
      </c>
      <c r="G56" s="34">
        <v>103.7</v>
      </c>
      <c r="H56" s="34">
        <v>107.7</v>
      </c>
      <c r="I56" s="34">
        <v>105.7</v>
      </c>
      <c r="J56" s="34">
        <v>108.4</v>
      </c>
      <c r="M56" s="36"/>
      <c r="N56" s="36"/>
      <c r="O56" s="36"/>
      <c r="P56" s="36"/>
      <c r="Q56" s="36"/>
      <c r="R56" s="36"/>
      <c r="S56" s="36"/>
      <c r="T56" s="36"/>
      <c r="U56" s="33"/>
      <c r="V56" s="32"/>
      <c r="W56" s="33"/>
      <c r="X56" s="31"/>
    </row>
    <row r="57" spans="1:24" ht="15" x14ac:dyDescent="0.2">
      <c r="A57" s="9" t="s">
        <v>6</v>
      </c>
      <c r="B57" s="39" t="s">
        <v>94</v>
      </c>
      <c r="C57" s="34">
        <v>101.4</v>
      </c>
      <c r="D57" s="34">
        <v>107.3</v>
      </c>
      <c r="E57" s="34">
        <v>102.4</v>
      </c>
      <c r="F57" s="34">
        <v>105.5</v>
      </c>
      <c r="G57" s="34">
        <v>98.9</v>
      </c>
      <c r="H57" s="34">
        <v>106.5</v>
      </c>
      <c r="I57" s="34">
        <v>103.4</v>
      </c>
      <c r="J57" s="34">
        <v>112.1</v>
      </c>
      <c r="M57" s="36"/>
      <c r="N57" s="36"/>
      <c r="O57" s="36"/>
      <c r="P57" s="36"/>
      <c r="Q57" s="36"/>
      <c r="R57" s="36"/>
      <c r="S57" s="36"/>
      <c r="T57" s="36"/>
      <c r="U57" s="33"/>
      <c r="V57" s="32"/>
      <c r="W57" s="33"/>
      <c r="X57" s="31"/>
    </row>
    <row r="58" spans="1:24" ht="15" x14ac:dyDescent="0.2">
      <c r="A58" s="9" t="s">
        <v>7</v>
      </c>
      <c r="B58" s="41" t="s">
        <v>95</v>
      </c>
      <c r="C58" s="34">
        <v>101</v>
      </c>
      <c r="D58" s="34">
        <v>108.4</v>
      </c>
      <c r="E58" s="34">
        <v>101.1</v>
      </c>
      <c r="F58" s="34">
        <v>106.6</v>
      </c>
      <c r="G58" s="34">
        <v>102.2</v>
      </c>
      <c r="H58" s="34">
        <v>108.8</v>
      </c>
      <c r="I58" s="34">
        <v>98.2</v>
      </c>
      <c r="J58" s="34">
        <v>110.1</v>
      </c>
      <c r="K58" t="s">
        <v>87</v>
      </c>
      <c r="M58" s="36"/>
      <c r="N58" s="36"/>
      <c r="O58" s="36"/>
      <c r="P58" s="36"/>
      <c r="Q58" s="36"/>
      <c r="R58" s="36"/>
      <c r="S58" s="36"/>
      <c r="T58" s="36"/>
      <c r="U58" s="33"/>
      <c r="V58" s="32"/>
      <c r="W58" s="33"/>
      <c r="X58" s="31"/>
    </row>
    <row r="59" spans="1:24" ht="15" x14ac:dyDescent="0.2">
      <c r="A59" s="9" t="s">
        <v>8</v>
      </c>
      <c r="B59" s="39" t="s">
        <v>96</v>
      </c>
      <c r="C59" s="34">
        <v>102.8</v>
      </c>
      <c r="D59" s="34">
        <v>111.4</v>
      </c>
      <c r="E59" s="34">
        <v>102.8</v>
      </c>
      <c r="F59" s="34">
        <v>109.6</v>
      </c>
      <c r="G59" s="34">
        <v>100.1</v>
      </c>
      <c r="H59" s="34">
        <v>108.9</v>
      </c>
      <c r="I59" s="34">
        <v>109.5</v>
      </c>
      <c r="J59" s="34">
        <v>120.5</v>
      </c>
      <c r="K59" t="s">
        <v>87</v>
      </c>
      <c r="M59" s="36"/>
      <c r="N59" s="36"/>
      <c r="O59" s="36"/>
      <c r="P59" s="36"/>
      <c r="Q59" s="36"/>
      <c r="R59" s="36"/>
      <c r="S59" s="36"/>
      <c r="T59" s="36"/>
      <c r="U59" s="33"/>
      <c r="V59" s="32"/>
      <c r="W59" s="33"/>
      <c r="X59" s="31"/>
    </row>
    <row r="60" spans="1:24" ht="15" x14ac:dyDescent="0.2">
      <c r="A60" s="9" t="s">
        <v>9</v>
      </c>
      <c r="B60" s="41" t="s">
        <v>97</v>
      </c>
      <c r="C60" s="52">
        <v>99.5</v>
      </c>
      <c r="D60" s="52">
        <v>110.8</v>
      </c>
      <c r="E60" s="52">
        <v>99.4</v>
      </c>
      <c r="F60" s="52">
        <v>109</v>
      </c>
      <c r="G60" s="52">
        <v>101.1</v>
      </c>
      <c r="H60" s="52">
        <v>110.1</v>
      </c>
      <c r="I60" s="52">
        <v>95.7</v>
      </c>
      <c r="J60" s="54">
        <v>115.3</v>
      </c>
      <c r="M60" s="37"/>
      <c r="N60" s="36"/>
      <c r="O60" s="37"/>
      <c r="P60" s="37"/>
      <c r="Q60" s="37"/>
      <c r="R60" s="37"/>
      <c r="S60" s="37"/>
      <c r="T60" s="37"/>
      <c r="U60" s="31"/>
      <c r="V60" s="31"/>
      <c r="W60" s="31"/>
      <c r="X60" s="31"/>
    </row>
    <row r="61" spans="1:24" ht="15" x14ac:dyDescent="0.2">
      <c r="A61" s="9" t="s">
        <v>10</v>
      </c>
      <c r="B61" s="39" t="s">
        <v>98</v>
      </c>
      <c r="C61" s="52">
        <v>101.9</v>
      </c>
      <c r="D61" s="52">
        <v>112.9</v>
      </c>
      <c r="E61" s="52">
        <v>101.7</v>
      </c>
      <c r="F61" s="52">
        <v>110.8</v>
      </c>
      <c r="G61" s="52">
        <v>102</v>
      </c>
      <c r="H61" s="52">
        <v>112.3</v>
      </c>
      <c r="I61" s="52">
        <v>102.5</v>
      </c>
      <c r="J61" s="54">
        <v>118.1</v>
      </c>
      <c r="N61" s="36"/>
      <c r="O61" s="31"/>
      <c r="P61" s="31"/>
      <c r="Q61" s="31"/>
      <c r="R61" s="31"/>
      <c r="S61" s="31"/>
      <c r="T61" s="31"/>
      <c r="U61" s="31"/>
      <c r="V61" s="31"/>
      <c r="W61" s="31"/>
      <c r="X61" s="31"/>
    </row>
    <row r="62" spans="1:24" ht="15.75" thickBot="1" x14ac:dyDescent="0.25">
      <c r="A62" s="9" t="s">
        <v>11</v>
      </c>
      <c r="B62" s="41" t="s">
        <v>99</v>
      </c>
      <c r="C62" s="53">
        <v>100.3</v>
      </c>
      <c r="D62" s="53">
        <v>113.2</v>
      </c>
      <c r="E62" s="53">
        <v>99.4</v>
      </c>
      <c r="F62" s="53">
        <v>110.1</v>
      </c>
      <c r="G62" s="53">
        <v>101.3</v>
      </c>
      <c r="H62" s="53">
        <v>113.7</v>
      </c>
      <c r="I62" s="53">
        <v>100.9</v>
      </c>
      <c r="J62" s="55">
        <v>119.2</v>
      </c>
      <c r="N62" s="80"/>
      <c r="O62" s="52"/>
      <c r="P62" s="52"/>
      <c r="Q62" s="52"/>
      <c r="R62" s="52"/>
      <c r="S62" s="52"/>
      <c r="T62" s="52"/>
      <c r="U62" s="52"/>
      <c r="V62" s="54"/>
    </row>
    <row r="63" spans="1:24" ht="16.5" thickTop="1" thickBot="1" x14ac:dyDescent="0.25">
      <c r="B63" s="39" t="s">
        <v>100</v>
      </c>
      <c r="C63" s="53">
        <v>103</v>
      </c>
      <c r="D63" s="53">
        <v>103</v>
      </c>
      <c r="E63" s="53">
        <v>103.2</v>
      </c>
      <c r="F63" s="53">
        <v>103.2</v>
      </c>
      <c r="G63" s="53">
        <v>98.5</v>
      </c>
      <c r="H63" s="53">
        <v>98.5</v>
      </c>
      <c r="I63" s="53">
        <v>116.2</v>
      </c>
      <c r="J63" s="55">
        <v>116.2</v>
      </c>
      <c r="K63" t="s">
        <v>129</v>
      </c>
      <c r="L63" s="56"/>
      <c r="M63" s="57"/>
      <c r="N63" s="81"/>
      <c r="O63" s="52"/>
      <c r="P63" s="52"/>
      <c r="Q63" s="52"/>
      <c r="R63" s="52"/>
      <c r="S63" s="52"/>
      <c r="T63" s="52"/>
      <c r="U63" s="52"/>
      <c r="V63" s="54"/>
    </row>
    <row r="64" spans="1:24" ht="16.5" thickTop="1" thickBot="1" x14ac:dyDescent="0.25">
      <c r="B64" s="41" t="s">
        <v>101</v>
      </c>
      <c r="C64" s="53">
        <v>95.1</v>
      </c>
      <c r="D64" s="53">
        <v>97.9</v>
      </c>
      <c r="E64" s="53">
        <v>96.1</v>
      </c>
      <c r="F64" s="53">
        <v>99.2</v>
      </c>
      <c r="G64" s="53">
        <v>98.5</v>
      </c>
      <c r="H64" s="53">
        <v>97</v>
      </c>
      <c r="I64" s="53">
        <v>80.2</v>
      </c>
      <c r="J64" s="55">
        <v>93.2</v>
      </c>
      <c r="N64" s="82"/>
      <c r="O64" s="52"/>
      <c r="P64" s="52"/>
      <c r="Q64" s="52"/>
      <c r="R64" s="52"/>
      <c r="S64" s="52"/>
      <c r="T64" s="52"/>
      <c r="U64" s="52"/>
      <c r="V64" s="54"/>
    </row>
    <row r="65" spans="2:22" ht="15.75" thickTop="1" x14ac:dyDescent="0.2">
      <c r="B65" s="39" t="s">
        <v>102</v>
      </c>
      <c r="C65" s="52">
        <v>101.6</v>
      </c>
      <c r="D65" s="52">
        <v>99.4</v>
      </c>
      <c r="E65" s="52">
        <v>100.7</v>
      </c>
      <c r="F65" s="52">
        <v>99.9</v>
      </c>
      <c r="G65" s="52">
        <v>100.8</v>
      </c>
      <c r="H65" s="52">
        <v>97.8</v>
      </c>
      <c r="I65" s="52">
        <v>107.4</v>
      </c>
      <c r="J65" s="54">
        <v>100.1</v>
      </c>
      <c r="N65" s="82"/>
      <c r="O65" s="52"/>
      <c r="P65" s="52"/>
      <c r="Q65" s="52"/>
      <c r="R65" s="52"/>
      <c r="S65" s="52"/>
      <c r="T65" s="52"/>
      <c r="U65" s="52"/>
      <c r="V65" s="54"/>
    </row>
    <row r="66" spans="2:22" ht="15" x14ac:dyDescent="0.2">
      <c r="B66" s="41" t="s">
        <v>103</v>
      </c>
      <c r="C66" s="52">
        <v>103.1</v>
      </c>
      <c r="D66" s="52">
        <v>102.5</v>
      </c>
      <c r="E66" s="52">
        <v>102.7</v>
      </c>
      <c r="F66" s="52">
        <v>102.7</v>
      </c>
      <c r="G66" s="52">
        <v>102.8</v>
      </c>
      <c r="H66" s="52">
        <v>100.6</v>
      </c>
      <c r="I66" s="52">
        <v>105.2</v>
      </c>
      <c r="J66" s="54">
        <v>105.3</v>
      </c>
      <c r="N66" s="82"/>
      <c r="O66" s="52"/>
      <c r="P66" s="52"/>
      <c r="Q66" s="52"/>
      <c r="R66" s="52"/>
      <c r="S66" s="52"/>
      <c r="T66" s="52"/>
      <c r="U66" s="52"/>
      <c r="V66" s="54"/>
    </row>
    <row r="67" spans="2:22" ht="15" x14ac:dyDescent="0.2">
      <c r="B67" s="39" t="s">
        <v>104</v>
      </c>
      <c r="C67" s="52">
        <v>101.6</v>
      </c>
      <c r="D67" s="52">
        <v>104.1</v>
      </c>
      <c r="E67" s="52">
        <v>102.8</v>
      </c>
      <c r="F67" s="52">
        <v>105.5</v>
      </c>
      <c r="G67" s="52">
        <v>100.3</v>
      </c>
      <c r="H67" s="52">
        <v>100.9</v>
      </c>
      <c r="I67" s="52">
        <v>101</v>
      </c>
      <c r="J67" s="54">
        <v>106.3</v>
      </c>
      <c r="N67" s="82"/>
      <c r="O67" s="52"/>
      <c r="P67" s="52"/>
      <c r="Q67" s="52"/>
      <c r="R67" s="52"/>
      <c r="S67" s="52"/>
      <c r="T67" s="52"/>
      <c r="U67" s="52"/>
      <c r="V67" s="54"/>
    </row>
    <row r="68" spans="2:22" ht="15" x14ac:dyDescent="0.2">
      <c r="B68" s="41" t="s">
        <v>105</v>
      </c>
      <c r="C68" s="52">
        <v>101</v>
      </c>
      <c r="D68" s="52">
        <v>105.2</v>
      </c>
      <c r="E68" s="52">
        <v>101.3</v>
      </c>
      <c r="F68" s="52">
        <v>106.9</v>
      </c>
      <c r="G68" s="52">
        <v>99.9</v>
      </c>
      <c r="H68" s="52">
        <v>100.7</v>
      </c>
      <c r="I68" s="52">
        <v>103.7</v>
      </c>
      <c r="J68" s="54">
        <v>110.3</v>
      </c>
      <c r="K68" t="s">
        <v>87</v>
      </c>
      <c r="N68" s="82"/>
      <c r="O68" s="52"/>
      <c r="P68" s="52"/>
      <c r="Q68" s="52"/>
      <c r="R68" s="52"/>
      <c r="S68" s="52"/>
      <c r="T68" s="52"/>
      <c r="U68" s="52"/>
      <c r="V68" s="54"/>
    </row>
    <row r="69" spans="2:22" ht="15" x14ac:dyDescent="0.2">
      <c r="B69" s="39" t="s">
        <v>106</v>
      </c>
      <c r="C69" s="52">
        <v>101.9</v>
      </c>
      <c r="D69" s="52">
        <v>107.2</v>
      </c>
      <c r="E69" s="52">
        <v>102.5</v>
      </c>
      <c r="F69" s="52">
        <v>109.5</v>
      </c>
      <c r="G69" s="52">
        <v>101</v>
      </c>
      <c r="H69" s="52">
        <v>101.8</v>
      </c>
      <c r="I69" s="52">
        <v>102.3</v>
      </c>
      <c r="J69" s="54">
        <v>112.7</v>
      </c>
      <c r="K69" t="s">
        <v>87</v>
      </c>
      <c r="N69" s="82"/>
      <c r="O69" s="52"/>
      <c r="P69" s="52"/>
      <c r="Q69" s="52"/>
      <c r="R69" s="52"/>
      <c r="S69" s="52"/>
      <c r="T69" s="52"/>
      <c r="U69" s="52"/>
      <c r="V69" s="54"/>
    </row>
    <row r="70" spans="2:22" ht="15" x14ac:dyDescent="0.2">
      <c r="B70" s="41" t="s">
        <v>107</v>
      </c>
      <c r="C70" s="52">
        <v>100</v>
      </c>
      <c r="D70" s="52">
        <v>107.2</v>
      </c>
      <c r="E70" s="52">
        <v>102.2</v>
      </c>
      <c r="F70" s="52">
        <v>111.9</v>
      </c>
      <c r="G70" s="52">
        <v>97</v>
      </c>
      <c r="H70" s="52">
        <v>98.8</v>
      </c>
      <c r="I70" s="52">
        <v>101.5</v>
      </c>
      <c r="J70" s="54">
        <v>114.4</v>
      </c>
      <c r="K70" t="s">
        <v>87</v>
      </c>
      <c r="N70" s="82"/>
      <c r="O70" s="52"/>
      <c r="P70" s="52"/>
      <c r="Q70" s="52"/>
      <c r="R70" s="52"/>
      <c r="S70" s="52"/>
      <c r="T70" s="52"/>
      <c r="U70" s="52"/>
      <c r="V70" s="54"/>
    </row>
    <row r="71" spans="2:22" ht="15.75" thickBot="1" x14ac:dyDescent="0.25">
      <c r="B71" s="39" t="s">
        <v>108</v>
      </c>
      <c r="C71" s="53">
        <v>103.2</v>
      </c>
      <c r="D71" s="53">
        <v>110.7</v>
      </c>
      <c r="E71" s="53">
        <v>102.5</v>
      </c>
      <c r="F71" s="53">
        <v>114.7</v>
      </c>
      <c r="G71" s="53">
        <v>103.3</v>
      </c>
      <c r="H71" s="53">
        <v>102.1</v>
      </c>
      <c r="I71" s="53">
        <v>105.9</v>
      </c>
      <c r="J71" s="55">
        <v>121.1</v>
      </c>
      <c r="M71" s="89"/>
      <c r="N71" s="85"/>
      <c r="O71" s="85"/>
      <c r="P71" s="85"/>
      <c r="Q71" s="85"/>
      <c r="R71" s="85"/>
      <c r="S71" s="85"/>
      <c r="T71" s="85"/>
      <c r="U71" s="84"/>
      <c r="V71" s="54"/>
    </row>
    <row r="72" spans="2:22" ht="15.75" thickTop="1" x14ac:dyDescent="0.2">
      <c r="B72" s="41" t="s">
        <v>109</v>
      </c>
      <c r="C72" s="52">
        <v>98</v>
      </c>
      <c r="D72" s="52">
        <v>108.5</v>
      </c>
      <c r="E72" s="52">
        <v>98.3</v>
      </c>
      <c r="F72" s="52">
        <v>112.7</v>
      </c>
      <c r="G72" s="52">
        <v>98.6</v>
      </c>
      <c r="H72" s="52">
        <v>100.6</v>
      </c>
      <c r="I72" s="52">
        <v>95.2</v>
      </c>
      <c r="J72" s="54">
        <v>115.4</v>
      </c>
      <c r="M72" s="89"/>
      <c r="N72" s="85"/>
      <c r="O72" s="85"/>
      <c r="P72" s="85"/>
      <c r="Q72" s="85"/>
      <c r="R72" s="85"/>
      <c r="S72" s="85"/>
      <c r="T72" s="85"/>
      <c r="U72" s="84"/>
      <c r="V72" s="54"/>
    </row>
    <row r="73" spans="2:22" ht="15" x14ac:dyDescent="0.2">
      <c r="B73" s="39" t="s">
        <v>110</v>
      </c>
      <c r="C73" s="52">
        <v>101.8</v>
      </c>
      <c r="D73" s="52">
        <v>110.5</v>
      </c>
      <c r="E73" s="52">
        <v>101.8</v>
      </c>
      <c r="F73" s="52">
        <v>114.7</v>
      </c>
      <c r="G73" s="52">
        <v>102.3</v>
      </c>
      <c r="H73" s="52">
        <v>103</v>
      </c>
      <c r="I73" s="52">
        <v>100.3</v>
      </c>
      <c r="J73" s="54">
        <v>115.7</v>
      </c>
      <c r="M73" s="90"/>
      <c r="N73" s="85"/>
      <c r="O73" s="85"/>
      <c r="P73" s="85"/>
      <c r="Q73" s="85"/>
      <c r="R73" s="85"/>
      <c r="S73" s="85"/>
      <c r="T73" s="85"/>
      <c r="U73" s="84"/>
      <c r="V73" s="54"/>
    </row>
    <row r="74" spans="2:22" ht="15.75" thickBot="1" x14ac:dyDescent="0.25">
      <c r="B74" s="41" t="s">
        <v>111</v>
      </c>
      <c r="C74" s="53">
        <v>100.4</v>
      </c>
      <c r="D74" s="53">
        <v>111</v>
      </c>
      <c r="E74" s="53">
        <v>98.9</v>
      </c>
      <c r="F74" s="53">
        <v>113.5</v>
      </c>
      <c r="G74" s="53">
        <v>102.4</v>
      </c>
      <c r="H74" s="53">
        <v>105.4</v>
      </c>
      <c r="I74" s="53">
        <v>100.4</v>
      </c>
      <c r="J74" s="55">
        <v>116.1</v>
      </c>
      <c r="M74" s="88"/>
      <c r="N74" s="86"/>
      <c r="O74" s="86"/>
      <c r="P74" s="86"/>
      <c r="Q74" s="86"/>
      <c r="R74" s="86"/>
      <c r="S74" s="86"/>
      <c r="T74" s="86"/>
      <c r="U74" s="87"/>
      <c r="V74" s="55"/>
    </row>
    <row r="75" spans="2:22" ht="16.5" thickTop="1" thickBot="1" x14ac:dyDescent="0.25">
      <c r="B75" s="43" t="s">
        <v>115</v>
      </c>
      <c r="C75" s="52">
        <v>104</v>
      </c>
      <c r="D75" s="52">
        <v>104</v>
      </c>
      <c r="E75" s="52">
        <v>104.5</v>
      </c>
      <c r="F75" s="52">
        <v>104.5</v>
      </c>
      <c r="G75" s="52">
        <v>99.9</v>
      </c>
      <c r="H75" s="52">
        <v>99.9</v>
      </c>
      <c r="I75" s="52">
        <v>116.3</v>
      </c>
      <c r="J75" s="54">
        <v>116.3</v>
      </c>
      <c r="N75" s="83"/>
      <c r="O75" s="53"/>
      <c r="P75" s="53"/>
      <c r="Q75" s="53"/>
      <c r="R75" s="53"/>
      <c r="S75" s="53"/>
      <c r="T75" s="53"/>
      <c r="U75" s="53"/>
      <c r="V75" s="55"/>
    </row>
    <row r="76" spans="2:22" ht="15.75" thickTop="1" x14ac:dyDescent="0.2">
      <c r="B76" s="44" t="s">
        <v>116</v>
      </c>
      <c r="C76" s="52">
        <v>93.9</v>
      </c>
      <c r="D76" s="52">
        <v>97.6</v>
      </c>
      <c r="E76" s="52">
        <v>94.9</v>
      </c>
      <c r="F76" s="52">
        <v>99.2</v>
      </c>
      <c r="G76" s="52">
        <v>96.2</v>
      </c>
      <c r="H76" s="52">
        <v>96.1</v>
      </c>
      <c r="I76" s="52">
        <v>80.7</v>
      </c>
      <c r="J76" s="54">
        <v>93.8</v>
      </c>
    </row>
    <row r="77" spans="2:22" ht="15" x14ac:dyDescent="0.2">
      <c r="B77" s="43" t="s">
        <v>117</v>
      </c>
      <c r="C77" s="52">
        <v>101.5</v>
      </c>
      <c r="D77" s="52">
        <v>99.1</v>
      </c>
      <c r="E77" s="52">
        <v>101.6</v>
      </c>
      <c r="F77" s="52">
        <v>100.8</v>
      </c>
      <c r="G77" s="52">
        <v>101</v>
      </c>
      <c r="H77" s="52">
        <v>97.1</v>
      </c>
      <c r="I77" s="52">
        <v>103.1</v>
      </c>
      <c r="J77" s="54">
        <v>96.7</v>
      </c>
    </row>
    <row r="78" spans="2:22" ht="15" x14ac:dyDescent="0.2">
      <c r="B78" s="44" t="s">
        <v>118</v>
      </c>
      <c r="C78" s="107">
        <v>103.3</v>
      </c>
      <c r="D78" s="107">
        <v>102.3</v>
      </c>
      <c r="E78" s="107">
        <v>104</v>
      </c>
      <c r="F78" s="107">
        <v>104.9</v>
      </c>
      <c r="G78" s="107">
        <v>101</v>
      </c>
      <c r="H78" s="107">
        <v>98.1</v>
      </c>
      <c r="I78" s="107">
        <v>108.3</v>
      </c>
      <c r="J78" s="108">
        <v>104.7</v>
      </c>
    </row>
    <row r="79" spans="2:22" ht="15" x14ac:dyDescent="0.2">
      <c r="B79" s="43" t="s">
        <v>119</v>
      </c>
      <c r="C79" s="107">
        <v>100.2</v>
      </c>
      <c r="D79" s="107">
        <v>102.5</v>
      </c>
      <c r="E79" s="107">
        <v>101.5</v>
      </c>
      <c r="F79" s="107">
        <v>106.4</v>
      </c>
      <c r="G79" s="107">
        <v>98.5</v>
      </c>
      <c r="H79" s="107">
        <v>96.7</v>
      </c>
      <c r="I79" s="107">
        <v>100.4</v>
      </c>
      <c r="J79" s="108">
        <v>105.1</v>
      </c>
    </row>
    <row r="80" spans="2:22" ht="15" x14ac:dyDescent="0.2">
      <c r="B80" s="44" t="s">
        <v>120</v>
      </c>
      <c r="C80" s="107">
        <v>101.6</v>
      </c>
      <c r="D80" s="107">
        <v>104.1</v>
      </c>
      <c r="E80" s="107">
        <v>102.4</v>
      </c>
      <c r="F80" s="107">
        <v>109</v>
      </c>
      <c r="G80" s="107">
        <v>100.7</v>
      </c>
      <c r="H80" s="107">
        <v>97.3</v>
      </c>
      <c r="I80" s="107">
        <v>101.3</v>
      </c>
      <c r="J80" s="108">
        <v>106.4</v>
      </c>
      <c r="K80" s="76"/>
    </row>
    <row r="81" spans="2:11" ht="15.75" thickBot="1" x14ac:dyDescent="0.25">
      <c r="B81" s="43" t="s">
        <v>121</v>
      </c>
      <c r="C81" s="53">
        <v>100.9</v>
      </c>
      <c r="D81" s="53">
        <v>105.1</v>
      </c>
      <c r="E81" s="53">
        <v>101.9</v>
      </c>
      <c r="F81" s="53">
        <v>111.1</v>
      </c>
      <c r="G81" s="53">
        <v>99.4</v>
      </c>
      <c r="H81" s="53">
        <v>96.7</v>
      </c>
      <c r="I81" s="53">
        <v>102.5</v>
      </c>
      <c r="J81" s="55">
        <v>109</v>
      </c>
      <c r="K81" s="76"/>
    </row>
    <row r="82" spans="2:11" ht="15.75" thickTop="1" x14ac:dyDescent="0.2">
      <c r="B82" s="44" t="s">
        <v>122</v>
      </c>
      <c r="C82" s="36"/>
      <c r="D82" s="36"/>
      <c r="E82" s="36"/>
      <c r="F82" s="36"/>
      <c r="G82" s="36"/>
      <c r="H82" s="36"/>
      <c r="I82" s="36"/>
      <c r="J82" s="36"/>
      <c r="K82" s="76"/>
    </row>
    <row r="83" spans="2:11" ht="15" x14ac:dyDescent="0.2">
      <c r="B83" s="43" t="s">
        <v>123</v>
      </c>
      <c r="C83" s="36"/>
      <c r="D83" s="36"/>
      <c r="E83" s="36"/>
      <c r="F83" s="36"/>
      <c r="G83" s="36"/>
      <c r="H83" s="36"/>
      <c r="I83" s="36"/>
      <c r="J83" s="36"/>
      <c r="K83" s="76"/>
    </row>
    <row r="84" spans="2:11" ht="15" x14ac:dyDescent="0.2">
      <c r="B84" s="44" t="s">
        <v>124</v>
      </c>
      <c r="C84" s="37"/>
      <c r="D84" s="37"/>
      <c r="E84" s="37"/>
      <c r="F84" s="37"/>
      <c r="G84" s="37"/>
      <c r="H84" s="37"/>
      <c r="I84" s="37"/>
      <c r="J84" s="37"/>
      <c r="K84" s="76"/>
    </row>
    <row r="85" spans="2:11" x14ac:dyDescent="0.2">
      <c r="B85" s="43" t="s">
        <v>125</v>
      </c>
      <c r="C85" s="76"/>
      <c r="D85" s="76"/>
      <c r="E85" s="76"/>
      <c r="F85" s="76"/>
      <c r="G85" s="76"/>
      <c r="H85" s="76"/>
      <c r="I85" s="76"/>
      <c r="J85" s="76"/>
      <c r="K85" s="76"/>
    </row>
    <row r="86" spans="2:11" x14ac:dyDescent="0.2">
      <c r="B86" s="44" t="s">
        <v>126</v>
      </c>
    </row>
  </sheetData>
  <mergeCells count="7">
    <mergeCell ref="A50:J50"/>
    <mergeCell ref="A47:A49"/>
    <mergeCell ref="C47:D48"/>
    <mergeCell ref="E47:J47"/>
    <mergeCell ref="E48:F48"/>
    <mergeCell ref="G48:H48"/>
    <mergeCell ref="I48:J48"/>
  </mergeCells>
  <hyperlinks>
    <hyperlink ref="C43" r:id="rId1"/>
    <hyperlink ref="C44" r:id="rId2"/>
  </hyperlinks>
  <pageMargins left="0.7" right="0.7" top="0.75" bottom="0.75" header="0.3" footer="0.3"/>
  <pageSetup paperSize="9" orientation="portrait" r:id="rId3"/>
  <customProperties>
    <customPr name="LastActive" r:id="rId4"/>
  </customProperties>
  <drawing r:id="rId5"/>
  <tableParts count="1">
    <tablePart r:id="rId6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"/>
  <sheetViews>
    <sheetView workbookViewId="0"/>
  </sheetViews>
  <sheetFormatPr defaultRowHeight="12.75" x14ac:dyDescent="0.2"/>
  <sheetData/>
  <pageMargins left="0.7" right="0.7" top="0.75" bottom="0.75" header="0.3" footer="0.3"/>
  <customProperties>
    <customPr name="LastActive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форма до 1,35</vt:lpstr>
      <vt:lpstr>форма от 1,35</vt:lpstr>
      <vt:lpstr>форма до 1,07 тыс</vt:lpstr>
      <vt:lpstr>справка</vt:lpstr>
      <vt:lpstr>нормы табл1,1</vt:lpstr>
      <vt:lpstr>прогн индекс ПРОЧИЕ</vt:lpstr>
      <vt:lpstr>нацстат индексы</vt:lpstr>
      <vt:lpstr>Инструкция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Зам. по экономике</dc:creator>
  <cp:lastModifiedBy>Вечерская Вера Валерьевна</cp:lastModifiedBy>
  <cp:lastPrinted>2025-09-03T08:08:43Z</cp:lastPrinted>
  <dcterms:created xsi:type="dcterms:W3CDTF">2023-08-17T11:26:55Z</dcterms:created>
  <dcterms:modified xsi:type="dcterms:W3CDTF">2025-09-03T12:58:57Z</dcterms:modified>
</cp:coreProperties>
</file>